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philljones/Library/CloudStorage/GoogleDrive-phill@morebrains.coop/Shared drives/MoreBrains Shared Drive/Projects/2022 Jisc PIDs phase 3/Deliverables/CBA revised/"/>
    </mc:Choice>
  </mc:AlternateContent>
  <xr:revisionPtr revIDLastSave="0" documentId="13_ncr:1_{773EB4B6-CC98-7145-A4C0-E80CD85FCB5E}" xr6:coauthVersionLast="47" xr6:coauthVersionMax="47" xr10:uidLastSave="{00000000-0000-0000-0000-000000000000}"/>
  <bookViews>
    <workbookView xWindow="0" yWindow="500" windowWidth="38400" windowHeight="21100" activeTab="1" xr2:uid="{12214038-3A89-7C48-A248-3E49CD28169E}"/>
  </bookViews>
  <sheets>
    <sheet name="Input" sheetId="1" r:id="rId1"/>
    <sheet name="Forecast" sheetId="10" r:id="rId2"/>
    <sheet name="Costs and benefits" sheetId="2" r:id="rId3"/>
    <sheet name="Rekeying costs" sheetId="12" r:id="rId4"/>
    <sheet name="Financials" sheetId="14" r:id="rId5"/>
    <sheet name="Estimate of PID adoption" sheetId="11" r:id="rId6"/>
    <sheet name="Logistic function" sheetId="9"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0" l="1"/>
  <c r="F12" i="10"/>
  <c r="G12" i="10"/>
  <c r="H12" i="10"/>
  <c r="D12" i="10"/>
  <c r="F20" i="14"/>
  <c r="H20" i="14"/>
  <c r="G20" i="14"/>
  <c r="J20" i="14"/>
  <c r="I20" i="14"/>
  <c r="I59" i="1"/>
  <c r="J59" i="1"/>
  <c r="I60" i="1"/>
  <c r="J60" i="1"/>
  <c r="I61" i="1"/>
  <c r="K61" i="1" s="1"/>
  <c r="D4" i="14" s="1"/>
  <c r="F4" i="14" s="1"/>
  <c r="J61" i="1"/>
  <c r="I62" i="1"/>
  <c r="J62" i="1"/>
  <c r="I63" i="1"/>
  <c r="K63" i="1" s="1"/>
  <c r="J63" i="1"/>
  <c r="I64" i="1"/>
  <c r="J64" i="1"/>
  <c r="K64" i="1" s="1"/>
  <c r="I65" i="1"/>
  <c r="J65" i="1"/>
  <c r="I66" i="1"/>
  <c r="J66" i="1"/>
  <c r="K66" i="1"/>
  <c r="D9" i="14" s="1"/>
  <c r="G9" i="14"/>
  <c r="H9" i="14"/>
  <c r="I9" i="14"/>
  <c r="J9" i="14"/>
  <c r="G16" i="14"/>
  <c r="H16" i="14"/>
  <c r="I16" i="14"/>
  <c r="J16" i="14"/>
  <c r="G17" i="14"/>
  <c r="H17" i="14"/>
  <c r="I17" i="14"/>
  <c r="J17" i="14"/>
  <c r="G18" i="14"/>
  <c r="H18" i="14"/>
  <c r="I18" i="14"/>
  <c r="J18" i="14"/>
  <c r="K59" i="1" l="1"/>
  <c r="D7" i="14"/>
  <c r="F7" i="14" s="1"/>
  <c r="J7" i="14" s="1"/>
  <c r="D8" i="14"/>
  <c r="F8" i="14" s="1"/>
  <c r="K60" i="1"/>
  <c r="K62" i="1"/>
  <c r="K65" i="1"/>
  <c r="D5" i="14"/>
  <c r="F5" i="14" s="1"/>
  <c r="J5" i="14" s="1"/>
  <c r="D6" i="14"/>
  <c r="F6" i="14" s="1"/>
  <c r="I6" i="14" s="1"/>
  <c r="H7" i="14"/>
  <c r="G7" i="14"/>
  <c r="I7" i="14"/>
  <c r="L17" i="14"/>
  <c r="I4" i="14"/>
  <c r="G4" i="14"/>
  <c r="L4" i="14" s="1"/>
  <c r="H4" i="14"/>
  <c r="J4" i="14"/>
  <c r="L18" i="14"/>
  <c r="L9" i="14"/>
  <c r="G8" i="14"/>
  <c r="H8" i="14"/>
  <c r="I8" i="14"/>
  <c r="J8" i="14"/>
  <c r="L8" i="14"/>
  <c r="L16" i="14"/>
  <c r="L7" i="14" l="1"/>
  <c r="G6" i="14"/>
  <c r="I5" i="14"/>
  <c r="F11" i="14"/>
  <c r="F12" i="14" s="1"/>
  <c r="L20" i="14"/>
  <c r="J6" i="14"/>
  <c r="H6" i="14"/>
  <c r="H5" i="14"/>
  <c r="H11" i="14" s="1"/>
  <c r="H12" i="14" s="1"/>
  <c r="H13" i="14" s="1"/>
  <c r="H22" i="14" s="1"/>
  <c r="G5" i="14"/>
  <c r="G11" i="14" s="1"/>
  <c r="G12" i="14" s="1"/>
  <c r="G13" i="14" s="1"/>
  <c r="G22" i="14" s="1"/>
  <c r="I11" i="14"/>
  <c r="I12" i="14" s="1"/>
  <c r="I13" i="14" s="1"/>
  <c r="I22" i="14" s="1"/>
  <c r="J11" i="14"/>
  <c r="H18" i="2"/>
  <c r="I18" i="2"/>
  <c r="H19" i="2"/>
  <c r="I19" i="2"/>
  <c r="H20" i="2"/>
  <c r="I20" i="2"/>
  <c r="J25" i="2"/>
  <c r="J29" i="2"/>
  <c r="J34" i="2"/>
  <c r="J35" i="2"/>
  <c r="J36" i="2"/>
  <c r="H47" i="2"/>
  <c r="L6" i="14" l="1"/>
  <c r="L5" i="14"/>
  <c r="J12" i="14"/>
  <c r="J13" i="14"/>
  <c r="J22" i="14" s="1"/>
  <c r="L12" i="14"/>
  <c r="L11" i="14"/>
  <c r="F13" i="14"/>
  <c r="J19" i="2"/>
  <c r="J38" i="2" s="1"/>
  <c r="J18" i="2"/>
  <c r="J23" i="2" s="1"/>
  <c r="J27" i="2"/>
  <c r="J20" i="2"/>
  <c r="J31" i="2" s="1"/>
  <c r="J33" i="2"/>
  <c r="J24" i="2"/>
  <c r="J30" i="2" l="1"/>
  <c r="J32" i="2"/>
  <c r="J26" i="2"/>
  <c r="J37" i="2"/>
  <c r="F22" i="14"/>
  <c r="L22" i="14" s="1"/>
  <c r="L13" i="14"/>
  <c r="J39" i="2"/>
  <c r="J28" i="2"/>
  <c r="J40" i="2"/>
  <c r="J42" i="2" l="1"/>
  <c r="J41" i="2"/>
  <c r="J43" i="2" l="1"/>
  <c r="E4" i="12" l="1"/>
  <c r="E5" i="12" s="1"/>
  <c r="D4" i="12"/>
  <c r="D5" i="12" s="1"/>
  <c r="C4" i="12"/>
  <c r="C5" i="12" s="1"/>
  <c r="D11" i="2"/>
  <c r="D7" i="2"/>
  <c r="D3" i="2"/>
  <c r="I40" i="9"/>
  <c r="F7" i="10"/>
  <c r="G7" i="10"/>
  <c r="H13" i="2" l="1"/>
  <c r="H9" i="2"/>
  <c r="H5" i="2"/>
  <c r="H11" i="2"/>
  <c r="H7" i="2"/>
  <c r="H3" i="2"/>
  <c r="H8" i="2"/>
  <c r="H4" i="2"/>
  <c r="H12" i="2"/>
  <c r="I8" i="11"/>
  <c r="I9" i="11"/>
  <c r="F6" i="11"/>
  <c r="I6" i="11" s="1"/>
  <c r="D5" i="11"/>
  <c r="F5" i="11" s="1"/>
  <c r="I5" i="11" s="1"/>
  <c r="F4" i="11"/>
  <c r="I4" i="11" s="1"/>
  <c r="F7" i="11"/>
  <c r="I7" i="11" s="1"/>
  <c r="H8" i="10"/>
  <c r="I39" i="9"/>
  <c r="I41" i="9"/>
  <c r="I42" i="9"/>
  <c r="I43" i="9"/>
  <c r="I44" i="9"/>
  <c r="I45" i="9"/>
  <c r="I46" i="9"/>
  <c r="I47" i="9"/>
  <c r="I48" i="9"/>
  <c r="I49" i="9"/>
  <c r="I50" i="9"/>
  <c r="I51" i="9"/>
  <c r="I52" i="9"/>
  <c r="I53" i="9"/>
  <c r="I54" i="9"/>
  <c r="I55" i="9"/>
  <c r="I56" i="9"/>
  <c r="I57" i="9"/>
  <c r="I58" i="9"/>
  <c r="I38" i="9"/>
  <c r="E4" i="10"/>
  <c r="F4" i="10"/>
  <c r="G4" i="10"/>
  <c r="H4" i="10"/>
  <c r="D4" i="10"/>
  <c r="I49" i="2"/>
  <c r="I55" i="2"/>
  <c r="C39" i="1"/>
  <c r="I48" i="2" s="1"/>
  <c r="I47" i="2"/>
  <c r="I52" i="2"/>
  <c r="C11" i="2"/>
  <c r="G11" i="2" s="1"/>
  <c r="C7" i="2"/>
  <c r="G7" i="2" s="1"/>
  <c r="C3" i="2"/>
  <c r="G3" i="2" s="1"/>
  <c r="G15" i="2" s="1"/>
  <c r="K21" i="2" l="1"/>
  <c r="K25" i="2"/>
  <c r="K29" i="2"/>
  <c r="K34" i="2"/>
  <c r="K19" i="2"/>
  <c r="K30" i="2"/>
  <c r="K35" i="2"/>
  <c r="K27" i="2"/>
  <c r="K36" i="2"/>
  <c r="K18" i="2"/>
  <c r="K20" i="2"/>
  <c r="K31" i="2"/>
  <c r="K37" i="2"/>
  <c r="K24" i="2"/>
  <c r="K28" i="2"/>
  <c r="K39" i="2"/>
  <c r="K33" i="2"/>
  <c r="K32" i="2"/>
  <c r="K26" i="2"/>
  <c r="K38" i="2"/>
  <c r="K23" i="2"/>
  <c r="K40" i="2"/>
  <c r="K41" i="2"/>
  <c r="K42" i="2"/>
  <c r="K43" i="2"/>
  <c r="J4" i="2"/>
  <c r="K4" i="2" s="1"/>
  <c r="J5" i="2"/>
  <c r="K5" i="2" s="1"/>
  <c r="J3" i="2"/>
  <c r="K3" i="2" s="1"/>
  <c r="J12" i="2"/>
  <c r="K12" i="2" s="1"/>
  <c r="J13" i="2"/>
  <c r="K13" i="2" s="1"/>
  <c r="J11" i="2"/>
  <c r="J8" i="2"/>
  <c r="K8" i="2" s="1"/>
  <c r="J9" i="2"/>
  <c r="K9" i="2" s="1"/>
  <c r="J7" i="2"/>
  <c r="H11" i="11"/>
  <c r="C7" i="10" s="1"/>
  <c r="J4" i="10"/>
  <c r="H9" i="10"/>
  <c r="J47" i="2"/>
  <c r="J6" i="2" l="1"/>
  <c r="K6" i="2" s="1"/>
  <c r="K7" i="2"/>
  <c r="J10" i="2"/>
  <c r="K10" i="2" s="1"/>
  <c r="J14" i="2"/>
  <c r="K14" i="2" s="1"/>
  <c r="K11" i="2"/>
  <c r="E8" i="10"/>
  <c r="E9" i="10" s="1"/>
  <c r="C8" i="10"/>
  <c r="F8" i="10"/>
  <c r="F9" i="10" s="1"/>
  <c r="G8" i="10"/>
  <c r="G9" i="10" s="1"/>
  <c r="D8" i="10"/>
  <c r="D9" i="10" s="1"/>
  <c r="K48" i="2"/>
  <c r="J49" i="2" s="1"/>
  <c r="K55" i="2"/>
  <c r="I58" i="2"/>
  <c r="J9" i="10" l="1"/>
  <c r="K52" i="2"/>
  <c r="J52" i="2" l="1"/>
  <c r="J15" i="2"/>
  <c r="K15" i="2" s="1"/>
  <c r="J55" i="2"/>
  <c r="K58" i="2"/>
  <c r="H5" i="10" l="1"/>
  <c r="H10" i="10" s="1"/>
  <c r="D5" i="10"/>
  <c r="C18" i="10" s="1"/>
  <c r="E5" i="10"/>
  <c r="E10" i="10" s="1"/>
  <c r="F5" i="10"/>
  <c r="F10" i="10" s="1"/>
  <c r="G5" i="10"/>
  <c r="G10" i="10" s="1"/>
  <c r="J58" i="2"/>
  <c r="G14" i="10"/>
  <c r="G17" i="10" s="1"/>
  <c r="F14" i="10"/>
  <c r="F17" i="10" s="1"/>
  <c r="E14" i="10"/>
  <c r="E17" i="10" s="1"/>
  <c r="H14" i="10"/>
  <c r="H17" i="10" s="1"/>
  <c r="D14" i="10"/>
  <c r="J12" i="10" l="1"/>
  <c r="J14" i="10"/>
  <c r="D17" i="10"/>
  <c r="J17" i="10" s="1"/>
  <c r="E15" i="10"/>
  <c r="E18" i="10" s="1"/>
  <c r="G15" i="10"/>
  <c r="G18" i="10" s="1"/>
  <c r="D15" i="10"/>
  <c r="F15" i="10"/>
  <c r="F18" i="10" s="1"/>
  <c r="J5" i="10"/>
  <c r="D10" i="10"/>
  <c r="H15" i="10" l="1"/>
  <c r="H18" i="10" s="1"/>
  <c r="J10" i="10"/>
  <c r="D18" i="10"/>
  <c r="J15" i="10" l="1"/>
  <c r="J18" i="10"/>
</calcChain>
</file>

<file path=xl/sharedStrings.xml><?xml version="1.0" encoding="utf-8"?>
<sst xmlns="http://schemas.openxmlformats.org/spreadsheetml/2006/main" count="327" uniqueCount="227">
  <si>
    <t>Grants per year</t>
  </si>
  <si>
    <t>Publications per year</t>
  </si>
  <si>
    <t>Projects</t>
  </si>
  <si>
    <t>Number</t>
  </si>
  <si>
    <t>Grant metadata</t>
  </si>
  <si>
    <t>- if Admin</t>
  </si>
  <si>
    <t>Project description</t>
  </si>
  <si>
    <t># staff</t>
  </si>
  <si>
    <t>Assumed gross pay</t>
  </si>
  <si>
    <t>Central Support / Professional Service (PS) teams</t>
  </si>
  <si>
    <t>Staff activity by area of research support:</t>
  </si>
  <si>
    <t>Staff:</t>
  </si>
  <si>
    <t>Cost:</t>
  </si>
  <si>
    <t>PI</t>
  </si>
  <si>
    <t>PS</t>
  </si>
  <si>
    <t>Deposit/ingest &amp; repositories</t>
  </si>
  <si>
    <t>Validation &amp; compliance</t>
  </si>
  <si>
    <t>Reporting</t>
  </si>
  <si>
    <t>Annual efficiency benefit at 2% of relevant activity cost</t>
  </si>
  <si>
    <t>Annual efficiency benefit at 5% of relevant activity cost</t>
  </si>
  <si>
    <t>Mid point</t>
  </si>
  <si>
    <t>Salary</t>
  </si>
  <si>
    <t>Days/number</t>
  </si>
  <si>
    <t>Training</t>
  </si>
  <si>
    <t>Salary / Day</t>
  </si>
  <si>
    <t>FTE</t>
  </si>
  <si>
    <t>Total</t>
  </si>
  <si>
    <t>Manager</t>
  </si>
  <si>
    <t>Year 1</t>
  </si>
  <si>
    <t>Year 2</t>
  </si>
  <si>
    <t>Year 3</t>
  </si>
  <si>
    <t>Year 4</t>
  </si>
  <si>
    <t>Year 5</t>
  </si>
  <si>
    <t>Marketing and communications</t>
  </si>
  <si>
    <t>Travel and accommodation</t>
  </si>
  <si>
    <t>Total staff costs</t>
  </si>
  <si>
    <t>Avg time /  year:</t>
  </si>
  <si>
    <t>Number of days for 1 PID integration</t>
  </si>
  <si>
    <t>Costs spread over number of years</t>
  </si>
  <si>
    <t>Cost</t>
  </si>
  <si>
    <t>k</t>
  </si>
  <si>
    <t>a</t>
  </si>
  <si>
    <t>Potential savings for Test University provided by not rekeying grant, article and project metadata</t>
  </si>
  <si>
    <t>ORCID</t>
  </si>
  <si>
    <t>RAiD</t>
  </si>
  <si>
    <t>ROR</t>
  </si>
  <si>
    <t>Year 0</t>
  </si>
  <si>
    <t>B_0</t>
  </si>
  <si>
    <t>B_Max</t>
  </si>
  <si>
    <t>Parameters</t>
  </si>
  <si>
    <t>Fraction of benefit</t>
  </si>
  <si>
    <t>Adoption percentage</t>
  </si>
  <si>
    <t>Logistic function</t>
  </si>
  <si>
    <t>Actual</t>
  </si>
  <si>
    <t>Implementations</t>
  </si>
  <si>
    <t>Weight</t>
  </si>
  <si>
    <t>Weighted coverage</t>
  </si>
  <si>
    <t>Total weighted coverage</t>
  </si>
  <si>
    <t>Potential*1</t>
  </si>
  <si>
    <t>*2</t>
  </si>
  <si>
    <t>*3</t>
  </si>
  <si>
    <t>*4</t>
  </si>
  <si>
    <t>*5</t>
  </si>
  <si>
    <t>???</t>
  </si>
  <si>
    <t>*6</t>
  </si>
  <si>
    <t>*7</t>
  </si>
  <si>
    <t>Implementation costs</t>
  </si>
  <si>
    <t>Individual implementation of 5 PIDs - unsupported *1</t>
  </si>
  <si>
    <t>Individual implementation of 5 PIDs - supported by consortium *3</t>
  </si>
  <si>
    <t>Implementation across all institutions - unsupported *2</t>
  </si>
  <si>
    <t>Costs for PID implementation (equivalent of two)</t>
  </si>
  <si>
    <t>Adoption Estimate</t>
  </si>
  <si>
    <t>Number of institutions in HESA data</t>
  </si>
  <si>
    <t>Number of institutions that have research income</t>
  </si>
  <si>
    <t>Assumptions for modelling</t>
  </si>
  <si>
    <t>Equivalent number of full PID integrations for unsupported priority PID integrations</t>
  </si>
  <si>
    <t>Equivalent number of full PID integrations for priority PID integrations with consortium support</t>
  </si>
  <si>
    <t>Cost per year</t>
  </si>
  <si>
    <t>Cost over 5 years</t>
  </si>
  <si>
    <t>Potential total sector savings (opportunity cost)</t>
  </si>
  <si>
    <t>Potential savings for Test University (opportunity cost)</t>
  </si>
  <si>
    <t>Annual savings</t>
  </si>
  <si>
    <t>Five Year savings</t>
  </si>
  <si>
    <t>Total savings from auto-feed of key metadata via new API links:</t>
  </si>
  <si>
    <t xml:space="preserve">Bid and pre- award </t>
  </si>
  <si>
    <t xml:space="preserve"> </t>
  </si>
  <si>
    <t>PGR2</t>
  </si>
  <si>
    <t xml:space="preserve">On- and post-award </t>
  </si>
  <si>
    <t>PGR1</t>
  </si>
  <si>
    <t>Post Graduate Researcher (PGR1) - support activities</t>
  </si>
  <si>
    <t>Post Doctorate Researcher (PGR2) - support activities</t>
  </si>
  <si>
    <t>*8</t>
  </si>
  <si>
    <t>*9</t>
  </si>
  <si>
    <t>*10</t>
  </si>
  <si>
    <t>*11</t>
  </si>
  <si>
    <t>*12</t>
  </si>
  <si>
    <t>*13</t>
  </si>
  <si>
    <t>Adoption level target</t>
  </si>
  <si>
    <t>A_m</t>
  </si>
  <si>
    <t>University staff</t>
  </si>
  <si>
    <t>Role</t>
  </si>
  <si>
    <t>salary</t>
  </si>
  <si>
    <t>Data estimates</t>
  </si>
  <si>
    <t>PID Integration costs</t>
  </si>
  <si>
    <t>Staff role</t>
  </si>
  <si>
    <t>Admin</t>
  </si>
  <si>
    <t>Type of metadata</t>
  </si>
  <si>
    <t xml:space="preserve">Professor / Principal Investigator (PI) </t>
  </si>
  <si>
    <t>Metadata rekeying</t>
  </si>
  <si>
    <t xml:space="preserve">Professor / the Principal Investigator (PI) </t>
  </si>
  <si>
    <t>Active data management</t>
  </si>
  <si>
    <t>Dissemination &amp; outreach</t>
  </si>
  <si>
    <t>Implementation across all institutions - supported by consortium *2</t>
  </si>
  <si>
    <t>Cost (supported) multiplied by number of institutions</t>
  </si>
  <si>
    <t>Cost (unsupported) multiplied by number of institutions</t>
  </si>
  <si>
    <t>Grant DOIs</t>
  </si>
  <si>
    <t>Crossref (outputs)</t>
  </si>
  <si>
    <t>DataCite (outputs)</t>
  </si>
  <si>
    <t>Cost of full implementation assuming equivolent effort of 4 times value for single ORCID implementation</t>
  </si>
  <si>
    <t>Cost of implementation per year if spread across five years</t>
  </si>
  <si>
    <t># of resuses</t>
  </si>
  <si>
    <t>Number of rekey events</t>
  </si>
  <si>
    <t>Grants</t>
  </si>
  <si>
    <t>Publication  metadata</t>
  </si>
  <si>
    <t>Publications</t>
  </si>
  <si>
    <t>Publication metadata</t>
  </si>
  <si>
    <t>Average nuber of authors / publication</t>
  </si>
  <si>
    <t># Authors</t>
  </si>
  <si>
    <t># minutes / event</t>
  </si>
  <si>
    <t>Job Role</t>
  </si>
  <si>
    <t>Junior Researcher</t>
  </si>
  <si>
    <t>Salary (Year)</t>
  </si>
  <si>
    <t>Salary + Overhead</t>
  </si>
  <si>
    <t>Salary + Overhead (minute)</t>
  </si>
  <si>
    <t>Research Administrator</t>
  </si>
  <si>
    <t>Senior Reseacher</t>
  </si>
  <si>
    <t>Overhead</t>
  </si>
  <si>
    <t>Number of working days in a year</t>
  </si>
  <si>
    <t>Hours in a working day</t>
  </si>
  <si>
    <t>cost per minute</t>
  </si>
  <si>
    <t>- if Senior Researcher</t>
  </si>
  <si>
    <t>- if Junior Researcher</t>
  </si>
  <si>
    <t>average</t>
  </si>
  <si>
    <t>University staff needed for PID implementation</t>
  </si>
  <si>
    <t>NA</t>
  </si>
  <si>
    <t>Annual time savings / days</t>
  </si>
  <si>
    <t>G10.05</t>
  </si>
  <si>
    <t>Mid</t>
  </si>
  <si>
    <t>Grade G</t>
  </si>
  <si>
    <t>G10.1</t>
  </si>
  <si>
    <t>Low</t>
  </si>
  <si>
    <t>High</t>
  </si>
  <si>
    <t>F11.05</t>
  </si>
  <si>
    <t>Grade F</t>
  </si>
  <si>
    <t>F11</t>
  </si>
  <si>
    <t>F11.1</t>
  </si>
  <si>
    <t>E12.05</t>
  </si>
  <si>
    <t>Mid-point</t>
  </si>
  <si>
    <t>Grade E</t>
  </si>
  <si>
    <t>E12</t>
  </si>
  <si>
    <t>E12.1</t>
  </si>
  <si>
    <t>D13.5</t>
  </si>
  <si>
    <t>Grade D</t>
  </si>
  <si>
    <t>D13</t>
  </si>
  <si>
    <t>D14</t>
  </si>
  <si>
    <t>C15.5</t>
  </si>
  <si>
    <t>Grade C</t>
  </si>
  <si>
    <t>Junior</t>
  </si>
  <si>
    <t>Yes</t>
  </si>
  <si>
    <t>USS</t>
  </si>
  <si>
    <t>C15</t>
  </si>
  <si>
    <t>Support</t>
  </si>
  <si>
    <t>C16</t>
  </si>
  <si>
    <t>Head / Lead</t>
  </si>
  <si>
    <t>B17.5</t>
  </si>
  <si>
    <t>Grade B</t>
  </si>
  <si>
    <t>B17</t>
  </si>
  <si>
    <t>B18</t>
  </si>
  <si>
    <t>Director</t>
  </si>
  <si>
    <t>A19.5</t>
  </si>
  <si>
    <t>Grade A</t>
  </si>
  <si>
    <t>A19</t>
  </si>
  <si>
    <t>A20</t>
  </si>
  <si>
    <t>Total Annual Cost</t>
  </si>
  <si>
    <t>NI ERS</t>
  </si>
  <si>
    <t>Pension ERS</t>
  </si>
  <si>
    <t>Salary 22/23</t>
  </si>
  <si>
    <t>Type of role</t>
  </si>
  <si>
    <t>Salary Sacrifice</t>
  </si>
  <si>
    <t>Pension code</t>
  </si>
  <si>
    <t>Point</t>
  </si>
  <si>
    <t>Band</t>
  </si>
  <si>
    <t>Secondary threshold</t>
  </si>
  <si>
    <t>Rate</t>
  </si>
  <si>
    <t>Employer cont %</t>
  </si>
  <si>
    <t>National insurance</t>
  </si>
  <si>
    <t>CSP</t>
  </si>
  <si>
    <t>Scottish Widows</t>
  </si>
  <si>
    <t>None</t>
  </si>
  <si>
    <t>Employee cont%</t>
  </si>
  <si>
    <t>Pension</t>
  </si>
  <si>
    <t>Annual salary increase</t>
  </si>
  <si>
    <t>Grand Total</t>
  </si>
  <si>
    <t>Total other costs</t>
  </si>
  <si>
    <t>Other costs</t>
  </si>
  <si>
    <t>Total staff costs including overhead</t>
  </si>
  <si>
    <t>Technical Support Strategist</t>
  </si>
  <si>
    <t>Lead Analyst</t>
  </si>
  <si>
    <t>Community Development Manager</t>
  </si>
  <si>
    <t>Director of Technical Strategy and Analysis</t>
  </si>
  <si>
    <t>Director of Community Development</t>
  </si>
  <si>
    <t>Executive Director</t>
  </si>
  <si>
    <t>Staffing Costs</t>
  </si>
  <si>
    <t>2022 Total annual cost</t>
  </si>
  <si>
    <t>Grade</t>
  </si>
  <si>
    <t>Title</t>
  </si>
  <si>
    <t>Total (5 Years)</t>
  </si>
  <si>
    <t>Potential savings for sector provided by not rekeying publication, grant, and project metadata</t>
  </si>
  <si>
    <t>Percentage of benefits based on logistic function 'S-curve'</t>
  </si>
  <si>
    <t>Adjusted savings for Test University provided by not rekeying publication, grant, and project metadata</t>
  </si>
  <si>
    <t>Adjusted savings across the sector provided by not rekeying publication, grant, and project metadata</t>
  </si>
  <si>
    <t>Costs for the PSN</t>
  </si>
  <si>
    <t>Sector-wide implementation costs for institutions when supported by the consortium</t>
  </si>
  <si>
    <t>Sector-wide net savings</t>
  </si>
  <si>
    <r>
      <t>Net savings</t>
    </r>
    <r>
      <rPr>
        <sz val="12"/>
        <rFont val="Calibri (Body)"/>
      </rPr>
      <t xml:space="preserve"> for Test University</t>
    </r>
  </si>
  <si>
    <t>Cost of implementation for Test University when supported by the consortium</t>
  </si>
  <si>
    <t>Data for PSN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</si>
</sst>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5" formatCode="&quot;£&quot;#,##0_);\(&quot;£&quot;#,##0\)"/>
    <numFmt numFmtId="6" formatCode="&quot;£&quot;#,##0_);[Red]\(&quot;£&quot;#,##0\)"/>
    <numFmt numFmtId="8" formatCode="&quot;£&quot;#,##0.00_);[Red]\(&quot;£&quot;#,##0.00\)"/>
    <numFmt numFmtId="164" formatCode="&quot;£&quot;#,##0.00"/>
    <numFmt numFmtId="165" formatCode="&quot;£&quot;#,##0"/>
    <numFmt numFmtId="166" formatCode="0.0%"/>
    <numFmt numFmtId="167" formatCode="_([$£-809]* #,##0.00_);_([$£-809]* \(#,##0.00\);_([$£-809]* &quot;-&quot;??_);_(@_)"/>
    <numFmt numFmtId="168" formatCode="###0"/>
  </numFmts>
  <fonts count="34" x14ac:knownFonts="1">
    <font>
      <sz val="12"/>
      <color theme="1"/>
      <name val="Calibri"/>
      <family val="2"/>
      <scheme val="minor"/>
    </font>
    <font>
      <sz val="12"/>
      <color rgb="FF006100"/>
      <name val="Calibri"/>
      <family val="2"/>
      <scheme val="minor"/>
    </font>
    <font>
      <sz val="12"/>
      <color rgb="FF9C0006"/>
      <name val="Calibri"/>
      <family val="2"/>
      <scheme val="minor"/>
    </font>
    <font>
      <sz val="10"/>
      <name val="Calibri"/>
      <family val="2"/>
      <scheme val="minor"/>
    </font>
    <font>
      <b/>
      <sz val="1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color theme="1"/>
      <name val="Arial"/>
      <family val="2"/>
    </font>
    <font>
      <b/>
      <sz val="12"/>
      <color theme="1"/>
      <name val="Calibri"/>
      <family val="2"/>
      <scheme val="minor"/>
    </font>
    <font>
      <i/>
      <sz val="10"/>
      <color theme="1"/>
      <name val="Calibri"/>
      <family val="2"/>
      <scheme val="minor"/>
    </font>
    <font>
      <sz val="12"/>
      <name val="Calibri"/>
      <family val="2"/>
      <scheme val="minor"/>
    </font>
    <font>
      <i/>
      <sz val="10"/>
      <name val="Calibri"/>
      <family val="2"/>
      <scheme val="minor"/>
    </font>
    <font>
      <sz val="12"/>
      <color theme="1"/>
      <name val="Calibri"/>
      <family val="2"/>
      <scheme val="minor"/>
    </font>
    <font>
      <b/>
      <sz val="12"/>
      <color theme="0"/>
      <name val="Calibri"/>
      <family val="2"/>
      <scheme val="minor"/>
    </font>
    <font>
      <sz val="12"/>
      <color theme="0"/>
      <name val="Calibri"/>
      <family val="2"/>
      <scheme val="minor"/>
    </font>
    <font>
      <b/>
      <sz val="12"/>
      <name val="Calibri"/>
      <family val="2"/>
      <scheme val="minor"/>
    </font>
    <font>
      <sz val="12"/>
      <name val="Calibri (Body)"/>
    </font>
    <font>
      <b/>
      <i/>
      <sz val="10"/>
      <name val="Calibri"/>
      <family val="2"/>
      <scheme val="minor"/>
    </font>
    <font>
      <sz val="10"/>
      <color theme="0"/>
      <name val="Calibri"/>
      <family val="2"/>
      <scheme val="minor"/>
    </font>
    <font>
      <b/>
      <sz val="10"/>
      <color theme="0"/>
      <name val="Calibri"/>
      <family val="2"/>
      <scheme val="minor"/>
    </font>
    <font>
      <b/>
      <i/>
      <sz val="10"/>
      <color theme="0"/>
      <name val="Calibri"/>
      <family val="2"/>
      <scheme val="minor"/>
    </font>
    <font>
      <i/>
      <sz val="12"/>
      <color theme="1"/>
      <name val="Calibri"/>
      <family val="2"/>
      <scheme val="minor"/>
    </font>
    <font>
      <sz val="12"/>
      <color theme="1"/>
      <name val="Arial"/>
      <family val="2"/>
    </font>
    <font>
      <b/>
      <sz val="12"/>
      <color theme="0"/>
      <name val="Arial"/>
      <family val="2"/>
    </font>
    <font>
      <sz val="10"/>
      <color rgb="FF000000"/>
      <name val="Calibri"/>
      <family val="2"/>
      <scheme val="minor"/>
    </font>
    <font>
      <sz val="10"/>
      <color theme="1"/>
      <name val="Calibri"/>
      <family val="2"/>
      <scheme val="minor"/>
    </font>
    <font>
      <sz val="11"/>
      <color theme="1"/>
      <name val="Calibri"/>
      <family val="2"/>
    </font>
    <font>
      <b/>
      <sz val="10"/>
      <color theme="1"/>
      <name val="Calibri"/>
      <family val="2"/>
      <scheme val="minor"/>
    </font>
    <font>
      <b/>
      <sz val="11"/>
      <color theme="1"/>
      <name val="Calibri"/>
      <family val="2"/>
    </font>
    <font>
      <b/>
      <i/>
      <sz val="10"/>
      <color rgb="FF000000"/>
      <name val="Calibri"/>
      <family val="2"/>
      <scheme val="minor"/>
    </font>
    <font>
      <i/>
      <sz val="10"/>
      <color theme="1"/>
      <name val="Calibri"/>
      <family val="2"/>
      <scheme val="minor"/>
    </font>
    <font>
      <sz val="10"/>
      <name val="Arial"/>
      <family val="2"/>
    </font>
    <font>
      <b/>
      <sz val="10"/>
      <color rgb="FF000000"/>
      <name val="Calibri"/>
      <family val="2"/>
      <scheme val="minor"/>
    </font>
  </fonts>
  <fills count="10">
    <fill>
      <patternFill patternType="none"/>
    </fill>
    <fill>
      <patternFill patternType="gray125"/>
    </fill>
    <fill>
      <patternFill patternType="solid">
        <fgColor rgb="FFC6EFCE"/>
      </patternFill>
    </fill>
    <fill>
      <patternFill patternType="solid">
        <fgColor rgb="FFFFC7CE"/>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bgColor indexed="64"/>
      </patternFill>
    </fill>
    <fill>
      <patternFill patternType="solid">
        <fgColor rgb="FFACC9FE"/>
        <bgColor rgb="FFACC9FE"/>
      </patternFill>
    </fill>
    <fill>
      <patternFill patternType="solid">
        <fgColor rgb="FFFFFFFF"/>
        <bgColor rgb="FFFFFFFF"/>
      </patternFill>
    </fill>
    <fill>
      <patternFill patternType="solid">
        <fgColor rgb="FFA4C2F4"/>
        <bgColor rgb="FFA4C2F4"/>
      </patternFill>
    </fill>
  </fills>
  <borders count="2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diagonal/>
    </border>
  </borders>
  <cellStyleXfs count="7">
    <xf numFmtId="0" fontId="0" fillId="0" borderId="0"/>
    <xf numFmtId="0" fontId="1" fillId="2" borderId="0" applyNumberFormat="0" applyBorder="0" applyAlignment="0" applyProtection="0"/>
    <xf numFmtId="0" fontId="2" fillId="3" borderId="0" applyNumberFormat="0" applyBorder="0" applyAlignment="0" applyProtection="0"/>
    <xf numFmtId="0" fontId="7" fillId="0" borderId="0"/>
    <xf numFmtId="0" fontId="8" fillId="0" borderId="0"/>
    <xf numFmtId="9" fontId="13" fillId="0" borderId="0" applyFont="0" applyFill="0" applyBorder="0" applyAlignment="0" applyProtection="0"/>
    <xf numFmtId="0" fontId="25" fillId="0" borderId="0"/>
  </cellStyleXfs>
  <cellXfs count="263">
    <xf numFmtId="0" fontId="0" fillId="0" borderId="0" xfId="0"/>
    <xf numFmtId="6" fontId="3" fillId="0" borderId="0" xfId="0" applyNumberFormat="1" applyFont="1"/>
    <xf numFmtId="0" fontId="5" fillId="0" borderId="0" xfId="0" applyFont="1"/>
    <xf numFmtId="0" fontId="3" fillId="0" borderId="0" xfId="0" applyFont="1"/>
    <xf numFmtId="6" fontId="5" fillId="0" borderId="0" xfId="0" applyNumberFormat="1" applyFont="1"/>
    <xf numFmtId="0" fontId="5" fillId="0" borderId="0" xfId="0" applyFont="1" applyBorder="1"/>
    <xf numFmtId="0" fontId="6" fillId="0" borderId="0" xfId="0" applyFont="1" applyBorder="1"/>
    <xf numFmtId="0" fontId="5" fillId="0" borderId="9" xfId="0" applyFont="1" applyBorder="1"/>
    <xf numFmtId="0" fontId="10" fillId="0" borderId="9" xfId="0" applyFont="1" applyBorder="1"/>
    <xf numFmtId="0" fontId="5" fillId="0" borderId="10" xfId="0" applyFont="1" applyBorder="1"/>
    <xf numFmtId="0" fontId="0" fillId="0" borderId="9" xfId="0" applyBorder="1"/>
    <xf numFmtId="5" fontId="5" fillId="0" borderId="0" xfId="0" applyNumberFormat="1" applyFont="1" applyBorder="1"/>
    <xf numFmtId="6" fontId="3" fillId="0" borderId="0" xfId="0" applyNumberFormat="1" applyFont="1" applyBorder="1"/>
    <xf numFmtId="0" fontId="3" fillId="0" borderId="0" xfId="0" applyFont="1" applyFill="1"/>
    <xf numFmtId="6" fontId="3" fillId="0" borderId="0" xfId="0" applyNumberFormat="1" applyFont="1" applyFill="1"/>
    <xf numFmtId="0" fontId="12" fillId="0" borderId="1" xfId="0" applyFont="1" applyFill="1" applyBorder="1"/>
    <xf numFmtId="0" fontId="4" fillId="0" borderId="2" xfId="0" applyFont="1" applyFill="1" applyBorder="1"/>
    <xf numFmtId="0" fontId="3" fillId="0" borderId="2" xfId="0" applyFont="1" applyFill="1" applyBorder="1"/>
    <xf numFmtId="6" fontId="3" fillId="0" borderId="2" xfId="0" applyNumberFormat="1" applyFont="1" applyFill="1" applyBorder="1"/>
    <xf numFmtId="6" fontId="3" fillId="0" borderId="8" xfId="0" applyNumberFormat="1" applyFont="1" applyFill="1" applyBorder="1"/>
    <xf numFmtId="0" fontId="3" fillId="0" borderId="4" xfId="0" applyFont="1" applyFill="1" applyBorder="1"/>
    <xf numFmtId="6" fontId="3" fillId="0" borderId="4" xfId="0" applyNumberFormat="1" applyFont="1" applyFill="1" applyBorder="1"/>
    <xf numFmtId="6" fontId="3" fillId="0" borderId="0" xfId="0" applyNumberFormat="1" applyFont="1" applyFill="1" applyBorder="1"/>
    <xf numFmtId="6" fontId="3" fillId="0" borderId="4" xfId="2" applyNumberFormat="1" applyFont="1" applyFill="1" applyBorder="1"/>
    <xf numFmtId="6" fontId="3" fillId="0" borderId="11" xfId="2" applyNumberFormat="1" applyFont="1" applyFill="1" applyBorder="1"/>
    <xf numFmtId="6" fontId="4" fillId="0" borderId="10" xfId="1" applyNumberFormat="1" applyFont="1" applyFill="1" applyBorder="1"/>
    <xf numFmtId="6" fontId="3" fillId="0" borderId="10" xfId="1" applyNumberFormat="1" applyFont="1" applyFill="1" applyBorder="1"/>
    <xf numFmtId="0" fontId="3" fillId="0" borderId="0" xfId="0" applyFont="1" applyBorder="1"/>
    <xf numFmtId="0" fontId="3" fillId="0" borderId="9" xfId="0" applyFont="1" applyBorder="1"/>
    <xf numFmtId="0" fontId="0" fillId="0" borderId="0" xfId="0" applyAlignment="1"/>
    <xf numFmtId="6" fontId="0" fillId="0" borderId="0" xfId="0" applyNumberFormat="1"/>
    <xf numFmtId="0" fontId="0" fillId="0" borderId="1" xfId="0" applyBorder="1"/>
    <xf numFmtId="6" fontId="0" fillId="0" borderId="2" xfId="0" applyNumberFormat="1" applyBorder="1"/>
    <xf numFmtId="6" fontId="0" fillId="0" borderId="0" xfId="0" applyNumberFormat="1" applyBorder="1"/>
    <xf numFmtId="6" fontId="0" fillId="0" borderId="10" xfId="0" applyNumberFormat="1" applyBorder="1"/>
    <xf numFmtId="0" fontId="0" fillId="0" borderId="0" xfId="0" applyBorder="1"/>
    <xf numFmtId="0" fontId="0" fillId="0" borderId="10" xfId="0" applyBorder="1"/>
    <xf numFmtId="0" fontId="0" fillId="0" borderId="3" xfId="0" applyBorder="1"/>
    <xf numFmtId="0" fontId="0" fillId="0" borderId="0" xfId="0" applyFill="1" applyBorder="1"/>
    <xf numFmtId="0" fontId="0" fillId="0" borderId="4" xfId="0" applyBorder="1"/>
    <xf numFmtId="0" fontId="0" fillId="0" borderId="11" xfId="0" applyBorder="1"/>
    <xf numFmtId="6" fontId="0" fillId="0" borderId="13" xfId="0" applyNumberFormat="1" applyBorder="1"/>
    <xf numFmtId="6" fontId="0" fillId="0" borderId="14" xfId="0" applyNumberFormat="1" applyBorder="1"/>
    <xf numFmtId="6" fontId="0" fillId="0" borderId="15" xfId="0" applyNumberFormat="1" applyBorder="1"/>
    <xf numFmtId="6" fontId="0" fillId="0" borderId="4" xfId="0" applyNumberFormat="1" applyBorder="1"/>
    <xf numFmtId="0" fontId="0" fillId="0" borderId="16" xfId="0" applyFill="1" applyBorder="1"/>
    <xf numFmtId="6" fontId="0" fillId="0" borderId="17" xfId="0" applyNumberFormat="1" applyBorder="1"/>
    <xf numFmtId="6" fontId="0" fillId="0" borderId="12" xfId="0" applyNumberFormat="1" applyBorder="1"/>
    <xf numFmtId="9" fontId="0" fillId="0" borderId="0" xfId="0" applyNumberFormat="1"/>
    <xf numFmtId="10" fontId="0" fillId="0" borderId="4" xfId="0" applyNumberFormat="1" applyBorder="1"/>
    <xf numFmtId="38" fontId="0" fillId="0" borderId="4" xfId="0" applyNumberFormat="1" applyBorder="1"/>
    <xf numFmtId="10" fontId="0" fillId="0" borderId="0" xfId="0" applyNumberFormat="1" applyBorder="1"/>
    <xf numFmtId="38" fontId="0" fillId="0" borderId="0" xfId="0" applyNumberFormat="1" applyBorder="1"/>
    <xf numFmtId="38" fontId="0" fillId="0" borderId="2" xfId="0" applyNumberFormat="1" applyBorder="1"/>
    <xf numFmtId="0" fontId="0" fillId="0" borderId="2" xfId="0" applyBorder="1"/>
    <xf numFmtId="0" fontId="0" fillId="0" borderId="17" xfId="0" applyFill="1" applyBorder="1"/>
    <xf numFmtId="9" fontId="0" fillId="0" borderId="0" xfId="0" applyNumberFormat="1" applyBorder="1"/>
    <xf numFmtId="9" fontId="0" fillId="0" borderId="2" xfId="0" applyNumberFormat="1" applyBorder="1"/>
    <xf numFmtId="9" fontId="0" fillId="0" borderId="10" xfId="0" applyNumberFormat="1" applyBorder="1"/>
    <xf numFmtId="9" fontId="0" fillId="0" borderId="11" xfId="0" applyNumberFormat="1" applyBorder="1"/>
    <xf numFmtId="0" fontId="0" fillId="0" borderId="4" xfId="0" applyBorder="1" applyAlignment="1">
      <alignment horizontal="right"/>
    </xf>
    <xf numFmtId="0" fontId="0" fillId="0" borderId="0" xfId="0" applyNumberFormat="1"/>
    <xf numFmtId="166" fontId="0" fillId="0" borderId="0" xfId="0" applyNumberFormat="1" applyBorder="1"/>
    <xf numFmtId="0" fontId="3" fillId="0" borderId="3" xfId="2" applyFont="1" applyFill="1" applyBorder="1"/>
    <xf numFmtId="0" fontId="3" fillId="0" borderId="4" xfId="2" applyFont="1" applyFill="1" applyBorder="1"/>
    <xf numFmtId="0" fontId="15" fillId="6" borderId="1" xfId="0" applyFont="1" applyFill="1" applyBorder="1"/>
    <xf numFmtId="0" fontId="15" fillId="6" borderId="2" xfId="0" applyFont="1" applyFill="1" applyBorder="1"/>
    <xf numFmtId="0" fontId="11" fillId="4" borderId="1" xfId="0" applyFont="1" applyFill="1" applyBorder="1"/>
    <xf numFmtId="6" fontId="11" fillId="4" borderId="2" xfId="0" applyNumberFormat="1" applyFont="1" applyFill="1" applyBorder="1"/>
    <xf numFmtId="6" fontId="16" fillId="4" borderId="13" xfId="0" applyNumberFormat="1" applyFont="1" applyFill="1" applyBorder="1"/>
    <xf numFmtId="0" fontId="11" fillId="4" borderId="3" xfId="0" applyFont="1" applyFill="1" applyBorder="1"/>
    <xf numFmtId="6" fontId="11" fillId="4" borderId="4" xfId="0" applyNumberFormat="1" applyFont="1" applyFill="1" applyBorder="1"/>
    <xf numFmtId="165" fontId="16" fillId="4" borderId="15" xfId="0" applyNumberFormat="1" applyFont="1" applyFill="1" applyBorder="1"/>
    <xf numFmtId="0" fontId="15" fillId="6" borderId="0" xfId="0" applyFont="1" applyFill="1"/>
    <xf numFmtId="0" fontId="15" fillId="6" borderId="0" xfId="0" applyFont="1" applyFill="1" applyAlignment="1">
      <alignment horizontal="right"/>
    </xf>
    <xf numFmtId="0" fontId="15" fillId="6" borderId="8" xfId="0" applyFont="1" applyFill="1" applyBorder="1"/>
    <xf numFmtId="0" fontId="15" fillId="6" borderId="9" xfId="0" applyFont="1" applyFill="1" applyBorder="1"/>
    <xf numFmtId="0" fontId="15" fillId="6" borderId="0" xfId="0" applyFont="1" applyFill="1" applyBorder="1" applyAlignment="1">
      <alignment horizontal="right"/>
    </xf>
    <xf numFmtId="0" fontId="15" fillId="6" borderId="0" xfId="0" applyFont="1" applyFill="1" applyBorder="1"/>
    <xf numFmtId="0" fontId="15" fillId="6" borderId="10" xfId="0" applyFont="1" applyFill="1" applyBorder="1"/>
    <xf numFmtId="9" fontId="14" fillId="6" borderId="7" xfId="0" applyNumberFormat="1" applyFont="1" applyFill="1" applyBorder="1"/>
    <xf numFmtId="0" fontId="5" fillId="0" borderId="0" xfId="0" applyFont="1" applyAlignment="1"/>
    <xf numFmtId="0" fontId="5" fillId="0" borderId="0" xfId="0" applyFont="1" applyBorder="1" applyAlignment="1">
      <alignment horizontal="center"/>
    </xf>
    <xf numFmtId="9" fontId="5" fillId="0" borderId="0" xfId="5" applyFont="1" applyBorder="1"/>
    <xf numFmtId="0" fontId="5" fillId="0" borderId="0" xfId="0" applyFont="1" applyBorder="1" applyAlignment="1"/>
    <xf numFmtId="0" fontId="5" fillId="0" borderId="0" xfId="0" quotePrefix="1" applyFont="1" applyBorder="1"/>
    <xf numFmtId="164" fontId="3" fillId="0" borderId="0" xfId="0" applyNumberFormat="1" applyFont="1" applyBorder="1" applyAlignment="1"/>
    <xf numFmtId="6" fontId="4" fillId="0" borderId="0" xfId="0" applyNumberFormat="1" applyFont="1" applyBorder="1"/>
    <xf numFmtId="0" fontId="18" fillId="0" borderId="9" xfId="0" applyFont="1" applyBorder="1"/>
    <xf numFmtId="0" fontId="18" fillId="0" borderId="0" xfId="0" applyFont="1" applyBorder="1"/>
    <xf numFmtId="0" fontId="18" fillId="0" borderId="0" xfId="0" applyFont="1" applyBorder="1" applyAlignment="1">
      <alignment horizontal="center"/>
    </xf>
    <xf numFmtId="0" fontId="18" fillId="0" borderId="0" xfId="0" applyFont="1" applyBorder="1" applyAlignment="1">
      <alignment horizontal="right" indent="1"/>
    </xf>
    <xf numFmtId="6" fontId="18" fillId="0" borderId="0" xfId="0" applyNumberFormat="1" applyFont="1" applyBorder="1" applyAlignment="1">
      <alignment horizontal="right" indent="1"/>
    </xf>
    <xf numFmtId="0" fontId="19" fillId="6" borderId="3" xfId="1" applyFont="1" applyFill="1" applyBorder="1"/>
    <xf numFmtId="0" fontId="19" fillId="6" borderId="4" xfId="1" applyFont="1" applyFill="1" applyBorder="1"/>
    <xf numFmtId="6" fontId="20" fillId="6" borderId="4" xfId="1" applyNumberFormat="1" applyFont="1" applyFill="1" applyBorder="1"/>
    <xf numFmtId="6" fontId="20" fillId="6" borderId="11" xfId="1" applyNumberFormat="1" applyFont="1" applyFill="1" applyBorder="1"/>
    <xf numFmtId="0" fontId="19" fillId="6" borderId="3" xfId="0" applyFont="1" applyFill="1" applyBorder="1"/>
    <xf numFmtId="6" fontId="19" fillId="6" borderId="4" xfId="1" applyNumberFormat="1" applyFont="1" applyFill="1" applyBorder="1"/>
    <xf numFmtId="0" fontId="5" fillId="0" borderId="9" xfId="0" applyFont="1" applyBorder="1" applyAlignment="1">
      <alignment horizontal="left" vertical="center"/>
    </xf>
    <xf numFmtId="0" fontId="5" fillId="5" borderId="0" xfId="0" quotePrefix="1" applyFont="1" applyFill="1"/>
    <xf numFmtId="0" fontId="5" fillId="5" borderId="0" xfId="0" applyFont="1" applyFill="1" applyBorder="1" applyAlignment="1">
      <alignment horizontal="center"/>
    </xf>
    <xf numFmtId="9" fontId="5" fillId="5" borderId="0" xfId="5" applyFont="1" applyFill="1" applyBorder="1"/>
    <xf numFmtId="6" fontId="3" fillId="5" borderId="0" xfId="0" applyNumberFormat="1" applyFont="1" applyFill="1" applyBorder="1"/>
    <xf numFmtId="6" fontId="3" fillId="5" borderId="10" xfId="1" applyNumberFormat="1" applyFont="1" applyFill="1" applyBorder="1"/>
    <xf numFmtId="0" fontId="5" fillId="5" borderId="0" xfId="0" applyFont="1" applyFill="1"/>
    <xf numFmtId="0" fontId="5" fillId="5" borderId="9" xfId="0" applyFont="1" applyFill="1" applyBorder="1" applyAlignment="1">
      <alignment horizontal="left" vertical="center"/>
    </xf>
    <xf numFmtId="0" fontId="20" fillId="6" borderId="2" xfId="0" applyFont="1" applyFill="1" applyBorder="1"/>
    <xf numFmtId="0" fontId="20" fillId="6" borderId="2" xfId="0" applyFont="1" applyFill="1" applyBorder="1" applyAlignment="1">
      <alignment horizontal="right"/>
    </xf>
    <xf numFmtId="6" fontId="20" fillId="6" borderId="2" xfId="0" applyNumberFormat="1" applyFont="1" applyFill="1" applyBorder="1" applyAlignment="1">
      <alignment horizontal="right"/>
    </xf>
    <xf numFmtId="0" fontId="20" fillId="6" borderId="1" xfId="0" applyFont="1" applyFill="1" applyBorder="1"/>
    <xf numFmtId="6" fontId="20" fillId="6" borderId="8" xfId="0" applyNumberFormat="1" applyFont="1" applyFill="1" applyBorder="1" applyAlignment="1">
      <alignment horizontal="right"/>
    </xf>
    <xf numFmtId="0" fontId="20" fillId="6" borderId="17" xfId="0" applyFont="1" applyFill="1" applyBorder="1" applyAlignment="1">
      <alignment horizontal="right"/>
    </xf>
    <xf numFmtId="0" fontId="20" fillId="6" borderId="17" xfId="0" applyFont="1" applyFill="1" applyBorder="1" applyAlignment="1">
      <alignment horizontal="right" indent="1"/>
    </xf>
    <xf numFmtId="6" fontId="20" fillId="6" borderId="17" xfId="0" applyNumberFormat="1" applyFont="1" applyFill="1" applyBorder="1" applyAlignment="1">
      <alignment horizontal="right"/>
    </xf>
    <xf numFmtId="0" fontId="20" fillId="6" borderId="16" xfId="0" applyFont="1" applyFill="1" applyBorder="1"/>
    <xf numFmtId="6" fontId="20" fillId="6" borderId="18" xfId="0" applyNumberFormat="1" applyFont="1" applyFill="1" applyBorder="1" applyAlignment="1">
      <alignment horizontal="right"/>
    </xf>
    <xf numFmtId="0" fontId="19" fillId="6" borderId="2" xfId="0" applyFont="1" applyFill="1" applyBorder="1"/>
    <xf numFmtId="0" fontId="21" fillId="6" borderId="2" xfId="0" applyFont="1" applyFill="1" applyBorder="1" applyAlignment="1">
      <alignment horizontal="right"/>
    </xf>
    <xf numFmtId="0" fontId="21" fillId="6" borderId="2" xfId="0" applyFont="1" applyFill="1" applyBorder="1" applyAlignment="1">
      <alignment horizontal="right" indent="1"/>
    </xf>
    <xf numFmtId="6" fontId="20" fillId="6" borderId="2" xfId="0" applyNumberFormat="1" applyFont="1" applyFill="1" applyBorder="1" applyAlignment="1">
      <alignment horizontal="right" indent="1"/>
    </xf>
    <xf numFmtId="6" fontId="20" fillId="6" borderId="8" xfId="0" applyNumberFormat="1" applyFont="1" applyFill="1" applyBorder="1" applyAlignment="1">
      <alignment horizontal="right" indent="1"/>
    </xf>
    <xf numFmtId="0" fontId="4" fillId="0" borderId="9" xfId="0" applyFont="1" applyBorder="1"/>
    <xf numFmtId="8" fontId="11" fillId="4" borderId="2" xfId="0" applyNumberFormat="1" applyFont="1" applyFill="1" applyBorder="1"/>
    <xf numFmtId="165" fontId="11" fillId="4" borderId="4" xfId="0" applyNumberFormat="1" applyFont="1" applyFill="1" applyBorder="1"/>
    <xf numFmtId="0" fontId="15" fillId="0" borderId="0" xfId="0" applyFont="1" applyAlignment="1"/>
    <xf numFmtId="0" fontId="0" fillId="0" borderId="0" xfId="0" applyAlignment="1">
      <alignment horizontal="left"/>
    </xf>
    <xf numFmtId="3" fontId="0" fillId="0" borderId="10" xfId="0" applyNumberFormat="1" applyBorder="1"/>
    <xf numFmtId="0" fontId="0" fillId="0" borderId="9" xfId="0" applyBorder="1" applyAlignment="1">
      <alignment horizontal="left"/>
    </xf>
    <xf numFmtId="0" fontId="0" fillId="0" borderId="0" xfId="0" applyBorder="1" applyAlignment="1">
      <alignment horizontal="left"/>
    </xf>
    <xf numFmtId="0" fontId="0" fillId="0" borderId="10" xfId="0" applyBorder="1" applyAlignment="1">
      <alignment horizontal="left"/>
    </xf>
    <xf numFmtId="0" fontId="22" fillId="0" borderId="9" xfId="0" applyFont="1" applyBorder="1" applyAlignment="1">
      <alignment horizontal="left"/>
    </xf>
    <xf numFmtId="0" fontId="22" fillId="0" borderId="0" xfId="0" applyFont="1" applyBorder="1" applyAlignment="1">
      <alignment horizontal="right"/>
    </xf>
    <xf numFmtId="0" fontId="22" fillId="0" borderId="10" xfId="0" applyFont="1" applyBorder="1" applyAlignment="1">
      <alignment horizontal="right"/>
    </xf>
    <xf numFmtId="0" fontId="0" fillId="0" borderId="9" xfId="0" applyBorder="1" applyAlignment="1"/>
    <xf numFmtId="0" fontId="0" fillId="0" borderId="0" xfId="0" applyBorder="1" applyAlignment="1"/>
    <xf numFmtId="0" fontId="0" fillId="0" borderId="10" xfId="0" applyBorder="1" applyAlignment="1"/>
    <xf numFmtId="0" fontId="22" fillId="0" borderId="0" xfId="0" applyFont="1" applyBorder="1" applyAlignment="1">
      <alignment horizontal="left"/>
    </xf>
    <xf numFmtId="164" fontId="0" fillId="0" borderId="10" xfId="0" applyNumberFormat="1" applyBorder="1" applyAlignment="1">
      <alignment horizontal="right"/>
    </xf>
    <xf numFmtId="0" fontId="15" fillId="0" borderId="10" xfId="0" applyFont="1" applyBorder="1" applyAlignment="1"/>
    <xf numFmtId="164" fontId="3" fillId="5" borderId="0" xfId="0" applyNumberFormat="1" applyFont="1" applyFill="1" applyBorder="1" applyAlignment="1"/>
    <xf numFmtId="0" fontId="3" fillId="5" borderId="0" xfId="0" applyFont="1" applyFill="1" applyBorder="1"/>
    <xf numFmtId="6" fontId="4" fillId="5" borderId="0" xfId="0" applyNumberFormat="1" applyFont="1" applyFill="1" applyBorder="1"/>
    <xf numFmtId="6" fontId="4" fillId="5" borderId="10" xfId="1" applyNumberFormat="1" applyFont="1" applyFill="1" applyBorder="1"/>
    <xf numFmtId="0" fontId="5" fillId="5" borderId="9" xfId="0" applyFont="1" applyFill="1" applyBorder="1"/>
    <xf numFmtId="6" fontId="5" fillId="0" borderId="0" xfId="0" applyNumberFormat="1" applyFont="1" applyFill="1" applyBorder="1"/>
    <xf numFmtId="6" fontId="5" fillId="0" borderId="10" xfId="0" applyNumberFormat="1" applyFont="1" applyFill="1" applyBorder="1"/>
    <xf numFmtId="0" fontId="3" fillId="0" borderId="9" xfId="2" applyFont="1" applyFill="1" applyBorder="1"/>
    <xf numFmtId="0" fontId="3" fillId="0" borderId="0" xfId="2" applyFont="1" applyFill="1" applyBorder="1"/>
    <xf numFmtId="6" fontId="3" fillId="0" borderId="10" xfId="2" applyNumberFormat="1" applyFont="1" applyFill="1" applyBorder="1"/>
    <xf numFmtId="0" fontId="3" fillId="0" borderId="11" xfId="2" applyFont="1" applyFill="1" applyBorder="1"/>
    <xf numFmtId="0" fontId="17" fillId="0" borderId="9" xfId="0" applyFont="1" applyBorder="1" applyAlignment="1"/>
    <xf numFmtId="0" fontId="0" fillId="0" borderId="0" xfId="0" applyBorder="1" applyAlignment="1">
      <alignment horizontal="right"/>
    </xf>
    <xf numFmtId="0" fontId="11" fillId="0" borderId="0" xfId="0" applyFont="1" applyBorder="1" applyAlignment="1">
      <alignment horizontal="right"/>
    </xf>
    <xf numFmtId="2" fontId="3" fillId="0" borderId="0" xfId="0" applyNumberFormat="1" applyFont="1" applyBorder="1"/>
    <xf numFmtId="2" fontId="3" fillId="5" borderId="0" xfId="0" applyNumberFormat="1" applyFont="1" applyFill="1" applyBorder="1"/>
    <xf numFmtId="0" fontId="17" fillId="0" borderId="0" xfId="0" applyFont="1" applyBorder="1" applyAlignment="1"/>
    <xf numFmtId="0" fontId="17" fillId="0" borderId="10" xfId="0" applyFont="1" applyBorder="1" applyAlignment="1"/>
    <xf numFmtId="0" fontId="0" fillId="0" borderId="0" xfId="0" applyFill="1" applyBorder="1" applyAlignment="1"/>
    <xf numFmtId="0" fontId="0" fillId="0" borderId="0" xfId="0" applyNumberFormat="1" applyBorder="1"/>
    <xf numFmtId="6" fontId="3" fillId="0" borderId="0" xfId="0" applyNumberFormat="1" applyFont="1" applyFill="1" applyBorder="1" applyAlignment="1">
      <alignment horizontal="right"/>
    </xf>
    <xf numFmtId="0" fontId="5" fillId="0" borderId="0" xfId="0" quotePrefix="1" applyFont="1"/>
    <xf numFmtId="0" fontId="3" fillId="5" borderId="9" xfId="0" applyFont="1" applyFill="1" applyBorder="1" applyAlignment="1">
      <alignment vertical="center"/>
    </xf>
    <xf numFmtId="0" fontId="3" fillId="0" borderId="9" xfId="0" applyFont="1" applyBorder="1" applyAlignment="1">
      <alignment vertical="center"/>
    </xf>
    <xf numFmtId="6" fontId="3" fillId="0" borderId="10" xfId="0" applyNumberFormat="1" applyFont="1" applyFill="1" applyBorder="1" applyAlignment="1">
      <alignment horizontal="right"/>
    </xf>
    <xf numFmtId="0" fontId="24" fillId="6" borderId="1" xfId="0" applyFont="1" applyFill="1" applyBorder="1"/>
    <xf numFmtId="0" fontId="24" fillId="6" borderId="2" xfId="0" applyFont="1" applyFill="1" applyBorder="1" applyAlignment="1">
      <alignment wrapText="1"/>
    </xf>
    <xf numFmtId="0" fontId="24" fillId="6" borderId="2" xfId="0" applyFont="1" applyFill="1" applyBorder="1"/>
    <xf numFmtId="0" fontId="24" fillId="6" borderId="8" xfId="0" applyFont="1" applyFill="1" applyBorder="1"/>
    <xf numFmtId="0" fontId="23" fillId="0" borderId="9" xfId="0" applyFont="1" applyBorder="1"/>
    <xf numFmtId="8" fontId="23" fillId="0" borderId="0" xfId="0" applyNumberFormat="1" applyFont="1" applyBorder="1"/>
    <xf numFmtId="8" fontId="23" fillId="0" borderId="10" xfId="0" applyNumberFormat="1" applyFont="1" applyBorder="1"/>
    <xf numFmtId="0" fontId="23" fillId="0" borderId="3" xfId="0" applyFont="1" applyBorder="1"/>
    <xf numFmtId="8" fontId="23" fillId="0" borderId="4" xfId="0" applyNumberFormat="1" applyFont="1" applyBorder="1"/>
    <xf numFmtId="8" fontId="23" fillId="0" borderId="11" xfId="0" applyNumberFormat="1" applyFont="1" applyBorder="1"/>
    <xf numFmtId="3" fontId="5" fillId="0" borderId="0" xfId="0" applyNumberFormat="1" applyFont="1"/>
    <xf numFmtId="3" fontId="3" fillId="5" borderId="0" xfId="0" applyNumberFormat="1" applyFont="1" applyFill="1" applyBorder="1"/>
    <xf numFmtId="3" fontId="3" fillId="0" borderId="0" xfId="0" applyNumberFormat="1" applyFont="1" applyBorder="1"/>
    <xf numFmtId="3" fontId="19" fillId="6" borderId="4" xfId="1" applyNumberFormat="1" applyFont="1" applyFill="1" applyBorder="1"/>
    <xf numFmtId="0" fontId="25" fillId="0" borderId="0" xfId="6"/>
    <xf numFmtId="4" fontId="26" fillId="0" borderId="0" xfId="6" applyNumberFormat="1" applyFont="1"/>
    <xf numFmtId="0" fontId="26" fillId="0" borderId="0" xfId="6" applyFont="1"/>
    <xf numFmtId="0" fontId="28" fillId="0" borderId="0" xfId="6" applyFont="1"/>
    <xf numFmtId="167" fontId="30" fillId="7" borderId="19" xfId="6" applyNumberFormat="1" applyFont="1" applyFill="1" applyBorder="1"/>
    <xf numFmtId="0" fontId="30" fillId="7" borderId="20" xfId="6" applyFont="1" applyFill="1" applyBorder="1"/>
    <xf numFmtId="167" fontId="30" fillId="7" borderId="20" xfId="6" applyNumberFormat="1" applyFont="1" applyFill="1" applyBorder="1"/>
    <xf numFmtId="0" fontId="30" fillId="7" borderId="21" xfId="6" applyFont="1" applyFill="1" applyBorder="1"/>
    <xf numFmtId="167" fontId="28" fillId="7" borderId="20" xfId="6" applyNumberFormat="1" applyFont="1" applyFill="1" applyBorder="1"/>
    <xf numFmtId="0" fontId="28" fillId="7" borderId="20" xfId="6" applyFont="1" applyFill="1" applyBorder="1"/>
    <xf numFmtId="0" fontId="28" fillId="7" borderId="0" xfId="6" applyFont="1" applyFill="1"/>
    <xf numFmtId="0" fontId="31" fillId="0" borderId="0" xfId="6" applyFont="1"/>
    <xf numFmtId="167" fontId="26" fillId="0" borderId="22" xfId="6" applyNumberFormat="1" applyFont="1" applyBorder="1"/>
    <xf numFmtId="0" fontId="26" fillId="0" borderId="22" xfId="6" applyFont="1" applyBorder="1"/>
    <xf numFmtId="167" fontId="26" fillId="0" borderId="0" xfId="6" applyNumberFormat="1" applyFont="1"/>
    <xf numFmtId="0" fontId="26" fillId="0" borderId="23" xfId="6" applyFont="1" applyBorder="1"/>
    <xf numFmtId="167" fontId="26" fillId="0" borderId="23" xfId="6" applyNumberFormat="1" applyFont="1" applyBorder="1"/>
    <xf numFmtId="0" fontId="26" fillId="0" borderId="0" xfId="6" applyFont="1" applyAlignment="1">
      <alignment horizontal="center"/>
    </xf>
    <xf numFmtId="167" fontId="28" fillId="0" borderId="22" xfId="6" applyNumberFormat="1" applyFont="1" applyBorder="1"/>
    <xf numFmtId="0" fontId="28" fillId="0" borderId="22" xfId="6" applyFont="1" applyBorder="1"/>
    <xf numFmtId="167" fontId="28" fillId="0" borderId="0" xfId="6" applyNumberFormat="1" applyFont="1"/>
    <xf numFmtId="0" fontId="26" fillId="8" borderId="0" xfId="6" applyFont="1" applyFill="1"/>
    <xf numFmtId="167" fontId="26" fillId="8" borderId="0" xfId="6" applyNumberFormat="1" applyFont="1" applyFill="1"/>
    <xf numFmtId="168" fontId="26" fillId="0" borderId="0" xfId="6" applyNumberFormat="1" applyFont="1"/>
    <xf numFmtId="0" fontId="26" fillId="9" borderId="22" xfId="6" applyFont="1" applyFill="1" applyBorder="1"/>
    <xf numFmtId="168" fontId="26" fillId="9" borderId="22" xfId="6" applyNumberFormat="1" applyFont="1" applyFill="1" applyBorder="1"/>
    <xf numFmtId="0" fontId="26" fillId="0" borderId="9" xfId="6" applyFont="1" applyBorder="1"/>
    <xf numFmtId="9" fontId="26" fillId="0" borderId="0" xfId="6" applyNumberFormat="1" applyFont="1" applyBorder="1"/>
    <xf numFmtId="0" fontId="25" fillId="0" borderId="10" xfId="6" applyBorder="1"/>
    <xf numFmtId="0" fontId="25" fillId="0" borderId="9" xfId="6" applyBorder="1"/>
    <xf numFmtId="0" fontId="25" fillId="0" borderId="0" xfId="6" applyBorder="1"/>
    <xf numFmtId="9" fontId="26" fillId="0" borderId="10" xfId="6" applyNumberFormat="1" applyFont="1" applyBorder="1"/>
    <xf numFmtId="10" fontId="26" fillId="0" borderId="0" xfId="6" applyNumberFormat="1" applyFont="1" applyBorder="1"/>
    <xf numFmtId="10" fontId="26" fillId="0" borderId="10" xfId="6" applyNumberFormat="1" applyFont="1" applyBorder="1"/>
    <xf numFmtId="0" fontId="26" fillId="0" borderId="3" xfId="6" applyFont="1" applyBorder="1"/>
    <xf numFmtId="0" fontId="25" fillId="0" borderId="4" xfId="6" applyBorder="1"/>
    <xf numFmtId="3" fontId="26" fillId="0" borderId="11" xfId="6" applyNumberFormat="1" applyFont="1" applyBorder="1"/>
    <xf numFmtId="0" fontId="27" fillId="0" borderId="9" xfId="6" applyFont="1" applyBorder="1"/>
    <xf numFmtId="0" fontId="27" fillId="0" borderId="0" xfId="6" applyFont="1" applyBorder="1"/>
    <xf numFmtId="0" fontId="27" fillId="0" borderId="0" xfId="6" applyFont="1" applyBorder="1" applyAlignment="1">
      <alignment horizontal="right"/>
    </xf>
    <xf numFmtId="4" fontId="27" fillId="0" borderId="0" xfId="6" applyNumberFormat="1" applyFont="1" applyBorder="1" applyAlignment="1">
      <alignment horizontal="right"/>
    </xf>
    <xf numFmtId="4" fontId="26" fillId="0" borderId="0" xfId="6" applyNumberFormat="1" applyFont="1" applyBorder="1"/>
    <xf numFmtId="4" fontId="26" fillId="0" borderId="10" xfId="6" applyNumberFormat="1" applyFont="1" applyBorder="1"/>
    <xf numFmtId="0" fontId="29" fillId="4" borderId="1" xfId="6" applyFont="1" applyFill="1" applyBorder="1" applyAlignment="1">
      <alignment horizontal="right"/>
    </xf>
    <xf numFmtId="0" fontId="29" fillId="4" borderId="2" xfId="6" applyFont="1" applyFill="1" applyBorder="1" applyAlignment="1">
      <alignment horizontal="right"/>
    </xf>
    <xf numFmtId="0" fontId="28" fillId="4" borderId="8" xfId="6" applyFont="1" applyFill="1" applyBorder="1" applyAlignment="1">
      <alignment horizontal="right"/>
    </xf>
    <xf numFmtId="0" fontId="27" fillId="0" borderId="9" xfId="6" applyFont="1" applyFill="1" applyBorder="1"/>
    <xf numFmtId="0" fontId="27" fillId="0" borderId="0" xfId="6" applyFont="1" applyFill="1" applyBorder="1"/>
    <xf numFmtId="0" fontId="27" fillId="0" borderId="0" xfId="6" applyFont="1" applyFill="1" applyBorder="1" applyAlignment="1">
      <alignment horizontal="right"/>
    </xf>
    <xf numFmtId="4" fontId="27" fillId="0" borderId="0" xfId="6" applyNumberFormat="1" applyFont="1" applyFill="1" applyBorder="1" applyAlignment="1">
      <alignment horizontal="right"/>
    </xf>
    <xf numFmtId="0" fontId="28" fillId="0" borderId="3" xfId="6" applyFont="1" applyBorder="1"/>
    <xf numFmtId="0" fontId="28" fillId="0" borderId="4" xfId="6" applyFont="1" applyBorder="1"/>
    <xf numFmtId="0" fontId="28" fillId="0" borderId="11" xfId="6" applyFont="1" applyBorder="1"/>
    <xf numFmtId="0" fontId="6" fillId="0" borderId="3" xfId="6" applyFont="1" applyBorder="1"/>
    <xf numFmtId="0" fontId="33" fillId="0" borderId="4" xfId="6" applyFont="1" applyBorder="1"/>
    <xf numFmtId="0" fontId="6" fillId="0" borderId="11" xfId="6" applyFont="1" applyBorder="1"/>
    <xf numFmtId="0" fontId="9" fillId="4" borderId="1" xfId="0" applyFont="1" applyFill="1" applyBorder="1" applyAlignment="1">
      <alignment horizontal="center"/>
    </xf>
    <xf numFmtId="0" fontId="9" fillId="4" borderId="2" xfId="0" applyFont="1" applyFill="1" applyBorder="1" applyAlignment="1">
      <alignment horizontal="center"/>
    </xf>
    <xf numFmtId="0" fontId="9" fillId="4" borderId="8" xfId="0" applyFont="1" applyFill="1" applyBorder="1" applyAlignment="1">
      <alignment horizontal="center"/>
    </xf>
    <xf numFmtId="0" fontId="9" fillId="0" borderId="3" xfId="0" applyFont="1" applyFill="1" applyBorder="1" applyAlignment="1">
      <alignment horizontal="center"/>
    </xf>
    <xf numFmtId="0" fontId="9" fillId="0" borderId="4" xfId="0" applyFont="1" applyFill="1" applyBorder="1" applyAlignment="1">
      <alignment horizontal="center"/>
    </xf>
    <xf numFmtId="0" fontId="9" fillId="0" borderId="11" xfId="0" applyFont="1" applyFill="1" applyBorder="1" applyAlignment="1">
      <alignment horizontal="center"/>
    </xf>
    <xf numFmtId="0" fontId="16" fillId="4" borderId="1" xfId="0" applyFont="1" applyFill="1" applyBorder="1" applyAlignment="1">
      <alignment horizontal="center"/>
    </xf>
    <xf numFmtId="0" fontId="16" fillId="4" borderId="8" xfId="0" applyFont="1" applyFill="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11" xfId="0" applyFont="1" applyBorder="1" applyAlignment="1">
      <alignment horizontal="center"/>
    </xf>
    <xf numFmtId="3" fontId="3" fillId="0" borderId="2" xfId="0" applyNumberFormat="1" applyFont="1" applyBorder="1" applyAlignment="1">
      <alignment horizontal="right" vertical="center"/>
    </xf>
    <xf numFmtId="3" fontId="3" fillId="0" borderId="0" xfId="0" applyNumberFormat="1" applyFont="1" applyBorder="1" applyAlignment="1">
      <alignment horizontal="right" vertical="center"/>
    </xf>
    <xf numFmtId="3" fontId="3" fillId="5" borderId="0" xfId="0" applyNumberFormat="1" applyFont="1" applyFill="1" applyBorder="1" applyAlignment="1">
      <alignment horizontal="right" vertical="center"/>
    </xf>
    <xf numFmtId="0" fontId="5" fillId="0" borderId="9" xfId="0" applyFont="1" applyBorder="1" applyAlignment="1">
      <alignment horizontal="left" vertical="center"/>
    </xf>
    <xf numFmtId="0" fontId="5" fillId="5" borderId="9" xfId="0" applyFont="1" applyFill="1" applyBorder="1" applyAlignment="1">
      <alignment horizontal="left" vertical="center"/>
    </xf>
    <xf numFmtId="2" fontId="3" fillId="0" borderId="2" xfId="0" applyNumberFormat="1" applyFont="1" applyBorder="1" applyAlignment="1">
      <alignment horizontal="right" vertical="center"/>
    </xf>
    <xf numFmtId="2" fontId="3" fillId="0" borderId="0" xfId="0" applyNumberFormat="1" applyFont="1" applyBorder="1" applyAlignment="1">
      <alignment horizontal="righ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5" borderId="9" xfId="0" applyFont="1" applyFill="1" applyBorder="1" applyAlignment="1">
      <alignment horizontal="left" vertical="center"/>
    </xf>
    <xf numFmtId="2" fontId="3" fillId="5" borderId="0" xfId="0" applyNumberFormat="1" applyFont="1" applyFill="1" applyBorder="1" applyAlignment="1">
      <alignment horizontal="right" vertical="center"/>
    </xf>
    <xf numFmtId="167" fontId="26" fillId="0" borderId="22" xfId="6" applyNumberFormat="1" applyFont="1" applyBorder="1" applyAlignment="1">
      <alignment horizontal="center"/>
    </xf>
    <xf numFmtId="0" fontId="32" fillId="0" borderId="22" xfId="6" applyFont="1" applyBorder="1"/>
    <xf numFmtId="0" fontId="26" fillId="0" borderId="22" xfId="6" applyFont="1" applyBorder="1" applyAlignment="1">
      <alignment horizontal="center"/>
    </xf>
    <xf numFmtId="0" fontId="15" fillId="6" borderId="17" xfId="0" applyFont="1" applyFill="1" applyBorder="1" applyAlignment="1">
      <alignment horizontal="center"/>
    </xf>
    <xf numFmtId="0" fontId="14" fillId="6" borderId="5" xfId="0" applyFont="1" applyFill="1" applyBorder="1" applyAlignment="1">
      <alignment horizontal="right"/>
    </xf>
    <xf numFmtId="0" fontId="14" fillId="6" borderId="6" xfId="0" applyFont="1" applyFill="1" applyBorder="1" applyAlignment="1">
      <alignment horizontal="right"/>
    </xf>
  </cellXfs>
  <cellStyles count="7">
    <cellStyle name="Bad" xfId="2" builtinId="27"/>
    <cellStyle name="Good" xfId="1" builtinId="26"/>
    <cellStyle name="Normal" xfId="0" builtinId="0"/>
    <cellStyle name="Normal 2" xfId="3" xr:uid="{6A884C6A-E471-7B47-B158-C59D47615BD7}"/>
    <cellStyle name="Normal 3" xfId="4" xr:uid="{DFEEC063-B742-C147-8B91-10697369E609}"/>
    <cellStyle name="Normal 4" xfId="6" xr:uid="{3FE14667-7A9E-EA4D-86D4-42B6A83AE8E7}"/>
    <cellStyle name="Per cent" xfId="5" builtinId="5"/>
  </cellStyles>
  <dxfs count="7">
    <dxf>
      <fill>
        <patternFill patternType="solid">
          <fgColor theme="0"/>
          <bgColor theme="0"/>
        </patternFill>
      </fill>
    </dxf>
    <dxf>
      <fill>
        <patternFill patternType="solid">
          <fgColor rgb="FFE8F0FE"/>
          <bgColor rgb="FFE8F0FE"/>
        </patternFill>
      </fill>
    </dxf>
    <dxf>
      <fill>
        <patternFill patternType="solid">
          <fgColor rgb="FFFFFFFF"/>
          <bgColor rgb="FFFFFFFF"/>
        </patternFill>
      </fill>
    </dxf>
    <dxf>
      <fill>
        <patternFill patternType="solid">
          <fgColor rgb="FFE8F0FE"/>
          <bgColor rgb="FFE8F0FE"/>
        </patternFill>
      </fill>
    </dxf>
    <dxf>
      <fill>
        <patternFill patternType="solid">
          <fgColor rgb="FFACC9FE"/>
          <bgColor rgb="FFACC9FE"/>
        </patternFill>
      </fill>
    </dxf>
    <dxf>
      <fill>
        <patternFill patternType="solid">
          <fgColor rgb="FFE8F0FE"/>
          <bgColor rgb="FFE8F0FE"/>
        </patternFill>
      </fill>
    </dxf>
    <dxf>
      <fill>
        <patternFill patternType="solid">
          <fgColor rgb="FFFFFFFF"/>
          <bgColor rgb="FFFFFFFF"/>
        </patternFill>
      </fill>
    </dxf>
  </dxfs>
  <tableStyles count="3" defaultTableStyle="TableStyleMedium2" defaultPivotStyle="PivotStyleLight16">
    <tableStyle name="Financials-style" pivot="0" count="2" xr9:uid="{72E02D15-0FE0-4949-B9C9-6C513F0D2F66}">
      <tableStyleElement type="firstRowStripe" dxfId="6"/>
      <tableStyleElement type="secondRowStripe" dxfId="5"/>
    </tableStyle>
    <tableStyle name="Financials-style 2" pivot="0" count="3" xr9:uid="{1935562B-603B-6E48-84C3-C6D4EA10554C}">
      <tableStyleElement type="totalRow" dxfId="4"/>
      <tableStyleElement type="firstRowStripe" dxfId="3"/>
      <tableStyleElement type="secondRowStripe" dxfId="2"/>
    </tableStyle>
    <tableStyle name="Financials-style 3" pivot="0" count="2" xr9:uid="{9CF5F169-E1C8-1E44-AE68-72FCC0BC4151}">
      <tableStyleElement type="firstRowStripe" dxfId="1"/>
      <tableStyleElement type="secondRowStripe" dxfId="0"/>
    </tableStyle>
  </tableStyles>
  <colors>
    <mruColors>
      <color rgb="FF9700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strRef>
              <c:f>'Logistic function'!$I$37</c:f>
              <c:strCache>
                <c:ptCount val="1"/>
                <c:pt idx="0">
                  <c:v>Fraction of benefit</c:v>
                </c:pt>
              </c:strCache>
            </c:strRef>
          </c:tx>
          <c:spPr>
            <a:ln w="19050" cap="rnd">
              <a:solidFill>
                <a:schemeClr val="accent1"/>
              </a:solidFill>
              <a:round/>
            </a:ln>
            <a:effectLst/>
          </c:spPr>
          <c:marker>
            <c:symbol val="none"/>
          </c:marker>
          <c:xVal>
            <c:numRef>
              <c:f>'Logistic function'!$H$38:$H$58</c:f>
              <c:numCache>
                <c:formatCode>General</c:formatCode>
                <c:ptCount val="2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numCache>
            </c:numRef>
          </c:xVal>
          <c:yVal>
            <c:numRef>
              <c:f>'Logistic function'!$I$38:$I$58</c:f>
              <c:numCache>
                <c:formatCode>General</c:formatCode>
                <c:ptCount val="21"/>
                <c:pt idx="0">
                  <c:v>4.5950934646538648E-2</c:v>
                </c:pt>
                <c:pt idx="1">
                  <c:v>5.7250790860005986E-2</c:v>
                </c:pt>
                <c:pt idx="2">
                  <c:v>7.1322475457251427E-2</c:v>
                </c:pt>
                <c:pt idx="3">
                  <c:v>8.8837889658515828E-2</c:v>
                </c:pt>
                <c:pt idx="4">
                  <c:v>0.11062254396926989</c:v>
                </c:pt>
                <c:pt idx="5">
                  <c:v>0.13767996575985145</c:v>
                </c:pt>
                <c:pt idx="6">
                  <c:v>0.17120715313049154</c:v>
                </c:pt>
                <c:pt idx="7">
                  <c:v>0.21258303929806019</c:v>
                </c:pt>
                <c:pt idx="8">
                  <c:v>0.26329302499408092</c:v>
                </c:pt>
                <c:pt idx="9">
                  <c:v>0.32472161413849371</c:v>
                </c:pt>
                <c:pt idx="10">
                  <c:v>0.39770954446155277</c:v>
                </c:pt>
                <c:pt idx="11">
                  <c:v>0.48177900064353635</c:v>
                </c:pt>
                <c:pt idx="12">
                  <c:v>0.57411007655520907</c:v>
                </c:pt>
                <c:pt idx="13">
                  <c:v>0.6688489744231213</c:v>
                </c:pt>
                <c:pt idx="14">
                  <c:v>0.75785828325519911</c:v>
                </c:pt>
                <c:pt idx="15">
                  <c:v>0.8334371433058857</c:v>
                </c:pt>
                <c:pt idx="16">
                  <c:v>0.89142486008736899</c:v>
                </c:pt>
                <c:pt idx="17">
                  <c:v>0.93214231732098562</c:v>
                </c:pt>
                <c:pt idx="18">
                  <c:v>0.95883782398167994</c:v>
                </c:pt>
                <c:pt idx="19">
                  <c:v>0.97551764043590661</c:v>
                </c:pt>
                <c:pt idx="20">
                  <c:v>0.98561673824652107</c:v>
                </c:pt>
              </c:numCache>
            </c:numRef>
          </c:yVal>
          <c:smooth val="1"/>
          <c:extLst>
            <c:ext xmlns:c16="http://schemas.microsoft.com/office/drawing/2014/chart" uri="{C3380CC4-5D6E-409C-BE32-E72D297353CC}">
              <c16:uniqueId val="{00000000-9E60-EB44-9C95-36CCBF2F913D}"/>
            </c:ext>
          </c:extLst>
        </c:ser>
        <c:dLbls>
          <c:showLegendKey val="0"/>
          <c:showVal val="0"/>
          <c:showCatName val="0"/>
          <c:showSerName val="0"/>
          <c:showPercent val="0"/>
          <c:showBubbleSize val="0"/>
        </c:dLbls>
        <c:axId val="291579823"/>
        <c:axId val="291581471"/>
      </c:scatterChart>
      <c:valAx>
        <c:axId val="291579823"/>
        <c:scaling>
          <c:orientation val="minMax"/>
        </c:scaling>
        <c:delete val="0"/>
        <c:axPos val="b"/>
        <c:title>
          <c:tx>
            <c:rich>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sz="1800"/>
                  <a:t>Adoption</a:t>
                </a:r>
                <a:r>
                  <a:rPr lang="en-GB" sz="1800" baseline="0"/>
                  <a:t> percentage</a:t>
                </a:r>
                <a:endParaRPr lang="en-GB" sz="1800"/>
              </a:p>
            </c:rich>
          </c:tx>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291581471"/>
        <c:crosses val="autoZero"/>
        <c:crossBetween val="midCat"/>
      </c:valAx>
      <c:valAx>
        <c:axId val="291581471"/>
        <c:scaling>
          <c:orientation val="minMax"/>
        </c:scaling>
        <c:delete val="0"/>
        <c:axPos val="l"/>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GB" sz="1800"/>
                  <a:t>Fraction</a:t>
                </a:r>
                <a:r>
                  <a:rPr lang="en-GB" sz="1800" baseline="0"/>
                  <a:t> of benefit</a:t>
                </a:r>
                <a:endParaRPr lang="en-GB" sz="18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crossAx val="2915798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25400</xdr:colOff>
      <xdr:row>60</xdr:row>
      <xdr:rowOff>12700</xdr:rowOff>
    </xdr:from>
    <xdr:to>
      <xdr:col>11</xdr:col>
      <xdr:colOff>25400</xdr:colOff>
      <xdr:row>75</xdr:row>
      <xdr:rowOff>38100</xdr:rowOff>
    </xdr:to>
    <xdr:sp macro="" textlink="">
      <xdr:nvSpPr>
        <xdr:cNvPr id="2" name="TextBox 1">
          <a:extLst>
            <a:ext uri="{FF2B5EF4-FFF2-40B4-BE49-F238E27FC236}">
              <a16:creationId xmlns:a16="http://schemas.microsoft.com/office/drawing/2014/main" id="{45619B28-89A5-DB4B-98A1-254D2F8A69BC}"/>
            </a:ext>
          </a:extLst>
        </xdr:cNvPr>
        <xdr:cNvSpPr txBox="1"/>
      </xdr:nvSpPr>
      <xdr:spPr>
        <a:xfrm>
          <a:off x="406400" y="6438900"/>
          <a:ext cx="13834533" cy="2692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*1 The cost of implementing a PID is based on 40 days of work (290 hours according to the Jisc-ARMA report) of work at an average salary of £60,000 per year. The total cost for implementation is based on equivalent of 4 PIDs with a five year cost spread</a:t>
          </a:r>
        </a:p>
        <a:p>
          <a:r>
            <a:rPr lang="en-GB" sz="1100"/>
            <a:t>*2 The costs for all institutions is the cost per institution, multiplied by the number of institutions that receive research funding according to HESA.</a:t>
          </a:r>
        </a:p>
        <a:p>
          <a:r>
            <a:rPr lang="en-GB" sz="1100"/>
            <a:t>*3 Costs of implementation per institution when supported by the consortium assumes that it halves the effort from the university (equivalent of two PIDs).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25400</xdr:rowOff>
    </xdr:from>
    <xdr:to>
      <xdr:col>9</xdr:col>
      <xdr:colOff>12700</xdr:colOff>
      <xdr:row>26</xdr:row>
      <xdr:rowOff>190500</xdr:rowOff>
    </xdr:to>
    <xdr:sp macro="" textlink="">
      <xdr:nvSpPr>
        <xdr:cNvPr id="2" name="TextBox 1">
          <a:extLst>
            <a:ext uri="{FF2B5EF4-FFF2-40B4-BE49-F238E27FC236}">
              <a16:creationId xmlns:a16="http://schemas.microsoft.com/office/drawing/2014/main" id="{3A69D31B-9A34-FD4B-A518-E0B212A7A466}"/>
            </a:ext>
          </a:extLst>
        </xdr:cNvPr>
        <xdr:cNvSpPr txBox="1"/>
      </xdr:nvSpPr>
      <xdr:spPr>
        <a:xfrm>
          <a:off x="381000" y="2692400"/>
          <a:ext cx="7747000" cy="280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GB" sz="1100"/>
        </a:p>
        <a:p>
          <a:r>
            <a:rPr lang="en-GB" sz="1100"/>
            <a:t>*1 There are 246 HEIs in the</a:t>
          </a:r>
          <a:r>
            <a:rPr lang="en-GB" sz="1100" baseline="0"/>
            <a:t> HESA data and 1,000 funders in the open funder registry</a:t>
          </a:r>
        </a:p>
        <a:p>
          <a:r>
            <a:rPr lang="en-GB" sz="1100"/>
            <a:t>*2 There are 92 ORCID integrations in the UK</a:t>
          </a:r>
        </a:p>
        <a:p>
          <a:r>
            <a:rPr lang="en-GB" sz="1100"/>
            <a:t>*3 According to</a:t>
          </a:r>
          <a:r>
            <a:rPr lang="en-GB" sz="1100" baseline="0"/>
            <a:t> MoreBrains PID awareness survey[2], 20% of universities have a ROR integration</a:t>
          </a:r>
        </a:p>
        <a:p>
          <a:r>
            <a:rPr lang="en-GB" sz="1100"/>
            <a:t>*4 The DataCite consortium has 120 members</a:t>
          </a:r>
        </a:p>
        <a:p>
          <a:r>
            <a:rPr lang="en-GB" sz="1100"/>
            <a:t>*5 Wellcome Trust</a:t>
          </a:r>
          <a:r>
            <a:rPr lang="en-GB" sz="1100" baseline="0"/>
            <a:t> is the only UK funder with a Grant DOI integration with Crossref at the time of writing</a:t>
          </a:r>
        </a:p>
        <a:p>
          <a:r>
            <a:rPr lang="en-GB" sz="1100" baseline="0"/>
            <a:t>*6 RAiD is not yet implemented at any UK institutions</a:t>
          </a:r>
        </a:p>
        <a:p>
          <a:pPr marL="0" marR="0" lvl="0" indent="0" defTabSz="914400" eaLnBrk="1" fontAlgn="auto" latinLnBrk="0" hangingPunct="1">
            <a:lnSpc>
              <a:spcPct val="100000"/>
            </a:lnSpc>
            <a:spcBef>
              <a:spcPts val="0"/>
            </a:spcBef>
            <a:spcAft>
              <a:spcPts val="0"/>
            </a:spcAft>
            <a:buClrTx/>
            <a:buSzTx/>
            <a:buFontTx/>
            <a:buNone/>
            <a:tabLst/>
            <a:defRPr/>
          </a:pPr>
          <a:r>
            <a:rPr lang="en-GB" sz="1100"/>
            <a:t>*7 </a:t>
          </a:r>
          <a:r>
            <a:rPr lang="en-GB" sz="1100" baseline="0"/>
            <a:t>For Crossref integrations, assume that an average of 2 integrations per institution is necessary for system-specific ingest (e.g. to a CRIS and an institutional repository). Funders have dual input and output requirements, ingest for outputs previous grants, and DOI registration for new grants.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*8 The number of UK researchers in the ORCID database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*9 Our estimate for the total number of institutions in the UK, as used elsewhere in our analysis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*10 The number of DataCite DOIs registered in 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*11 Our estimate for the number of grants  awarded in the UK, as used elsewhere in our analysis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*12 Our estimate for the number of projects in the UK, as used elsewhere in our analysis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*13 The number of publications authored by UK-affiliated researchers.</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31750</xdr:colOff>
      <xdr:row>1</xdr:row>
      <xdr:rowOff>12700</xdr:rowOff>
    </xdr:from>
    <xdr:to>
      <xdr:col>9</xdr:col>
      <xdr:colOff>50800</xdr:colOff>
      <xdr:row>31</xdr:row>
      <xdr:rowOff>0</xdr:rowOff>
    </xdr:to>
    <xdr:graphicFrame macro="">
      <xdr:nvGraphicFramePr>
        <xdr:cNvPr id="3" name="Chart 2">
          <a:extLst>
            <a:ext uri="{FF2B5EF4-FFF2-40B4-BE49-F238E27FC236}">
              <a16:creationId xmlns:a16="http://schemas.microsoft.com/office/drawing/2014/main" id="{BE64C01B-F9E2-B44B-AAB7-0725DD60A8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800100</xdr:colOff>
      <xdr:row>42</xdr:row>
      <xdr:rowOff>38100</xdr:rowOff>
    </xdr:from>
    <xdr:to>
      <xdr:col>5</xdr:col>
      <xdr:colOff>1320800</xdr:colOff>
      <xdr:row>53</xdr:row>
      <xdr:rowOff>127000</xdr:rowOff>
    </xdr:to>
    <xdr:sp macro="" textlink="">
      <xdr:nvSpPr>
        <xdr:cNvPr id="7" name="TextBox 6">
          <a:extLst>
            <a:ext uri="{FF2B5EF4-FFF2-40B4-BE49-F238E27FC236}">
              <a16:creationId xmlns:a16="http://schemas.microsoft.com/office/drawing/2014/main" id="{9F61E6BF-2907-CB40-A661-BCFF9C2B2AA4}"/>
            </a:ext>
          </a:extLst>
        </xdr:cNvPr>
        <xdr:cNvSpPr txBox="1"/>
      </xdr:nvSpPr>
      <xdr:spPr>
        <a:xfrm>
          <a:off x="1244600" y="8775700"/>
          <a:ext cx="4394200" cy="2324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p>
        <a:p>
          <a:r>
            <a:rPr lang="en-GB" sz="1100"/>
            <a:t>Changing</a:t>
          </a:r>
          <a:r>
            <a:rPr lang="en-GB" sz="1100" baseline="0"/>
            <a:t> the value of k will affect the steepness of the curve.</a:t>
          </a:r>
        </a:p>
        <a:p>
          <a:r>
            <a:rPr lang="en-GB" sz="1100" baseline="0"/>
            <a:t>The value of A_0 is the adoption percentage at which half of the value has been realised</a:t>
          </a:r>
        </a:p>
        <a:p>
          <a:r>
            <a:rPr lang="en-GB" sz="1100" baseline="0"/>
            <a:t>B_0 and B_max change the minimum and maximum fraction of benefit. These parameters are shown in the equation on the graph because we haven't used them as part of the model. They are currently set to 0 and 1 and collapse out of the function.</a:t>
          </a:r>
        </a:p>
        <a:p>
          <a:r>
            <a:rPr lang="en-GB" sz="1100" baseline="0"/>
            <a:t>a is the asymmetry value of the generalised logistic function. It can be used to move the steepest part of the curve towards the lower or higher end.  We see no justification to change the asymmetry beyond setting the value of A_0 and so have  left it at 1.</a:t>
          </a:r>
          <a:endParaRPr lang="en-GB" sz="1100"/>
        </a:p>
      </xdr:txBody>
    </xdr:sp>
    <xdr:clientData/>
  </xdr:twoCellAnchor>
  <xdr:twoCellAnchor editAs="oneCell">
    <xdr:from>
      <xdr:col>2</xdr:col>
      <xdr:colOff>177800</xdr:colOff>
      <xdr:row>1</xdr:row>
      <xdr:rowOff>165100</xdr:rowOff>
    </xdr:from>
    <xdr:to>
      <xdr:col>6</xdr:col>
      <xdr:colOff>457200</xdr:colOff>
      <xdr:row>13</xdr:row>
      <xdr:rowOff>27223</xdr:rowOff>
    </xdr:to>
    <xdr:pic>
      <xdr:nvPicPr>
        <xdr:cNvPr id="9" name="Picture 8">
          <a:extLst>
            <a:ext uri="{FF2B5EF4-FFF2-40B4-BE49-F238E27FC236}">
              <a16:creationId xmlns:a16="http://schemas.microsoft.com/office/drawing/2014/main" id="{31F8C4D0-367C-974F-AF76-04DBFDA5F29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47800" y="546100"/>
          <a:ext cx="4724400" cy="230052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470B803-C511-5E44-952E-2084FADC0158}" name="Table_1" displayName="Table_1" ref="B4:L9" headerRowCount="0">
  <tableColumns count="11">
    <tableColumn id="1" xr3:uid="{00000000-0010-0000-0000-000001000000}" name="Column1"/>
    <tableColumn id="2" xr3:uid="{00000000-0010-0000-0000-000002000000}" name="Column2"/>
    <tableColumn id="3" xr3:uid="{00000000-0010-0000-0000-000003000000}" name="Column3">
      <calculatedColumnFormula>VLOOKUP(C4,Input!$D$59:$K$79,8,FALSE)*(1+Input!$C$46)</calculatedColumnFormula>
    </tableColumn>
    <tableColumn id="4" xr3:uid="{00000000-0010-0000-0000-000004000000}" name="Column4"/>
    <tableColumn id="5" xr3:uid="{00000000-0010-0000-0000-000005000000}" name="Column5"/>
    <tableColumn id="6" xr3:uid="{00000000-0010-0000-0000-000006000000}" name="Column6">
      <calculatedColumnFormula>$F4*(1+Input!$C$45)^(G$2-$F$2)</calculatedColumnFormula>
    </tableColumn>
    <tableColumn id="7" xr3:uid="{00000000-0010-0000-0000-000007000000}" name="Column7">
      <calculatedColumnFormula>$F4*(1+Input!$C$45)^(H$2-$F$2)</calculatedColumnFormula>
    </tableColumn>
    <tableColumn id="8" xr3:uid="{00000000-0010-0000-0000-000008000000}" name="Column8">
      <calculatedColumnFormula>$F4*(1+Input!$C$45)^(I$2-$F$2)</calculatedColumnFormula>
    </tableColumn>
    <tableColumn id="9" xr3:uid="{00000000-0010-0000-0000-000009000000}" name="Column9">
      <calculatedColumnFormula>$F4*(1+Input!$C$45)^(J$2-$F$2)</calculatedColumnFormula>
    </tableColumn>
    <tableColumn id="10" xr3:uid="{00000000-0010-0000-0000-00000A000000}" name="Column10"/>
    <tableColumn id="11" xr3:uid="{00000000-0010-0000-0000-00000B000000}" name="Column11">
      <calculatedColumnFormula>SUM(F4:J4)</calculatedColumnFormula>
    </tableColumn>
  </tableColumns>
  <tableStyleInfo name="Financials-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325E87B-2DF5-E143-8FEB-773291853A15}" name="Table_2" displayName="Table_2" ref="B11:L13" headerRowCount="0">
  <tableColumns count="11">
    <tableColumn id="1" xr3:uid="{00000000-0010-0000-0100-000001000000}" name="Column1"/>
    <tableColumn id="2" xr3:uid="{00000000-0010-0000-0100-000002000000}" name="Column2"/>
    <tableColumn id="3" xr3:uid="{00000000-0010-0000-0100-000003000000}" name="Column3"/>
    <tableColumn id="4" xr3:uid="{00000000-0010-0000-0100-000004000000}" name="Column4"/>
    <tableColumn id="5" xr3:uid="{00000000-0010-0000-0100-000005000000}" name="Column5"/>
    <tableColumn id="6" xr3:uid="{00000000-0010-0000-0100-000006000000}" name="Column6"/>
    <tableColumn id="7" xr3:uid="{00000000-0010-0000-0100-000007000000}" name="Column7"/>
    <tableColumn id="8" xr3:uid="{00000000-0010-0000-0100-000008000000}" name="Column8"/>
    <tableColumn id="9" xr3:uid="{00000000-0010-0000-0100-000009000000}" name="Column9"/>
    <tableColumn id="10" xr3:uid="{00000000-0010-0000-0100-00000A000000}" name="Column10"/>
    <tableColumn id="11" xr3:uid="{00000000-0010-0000-0100-00000B000000}" name="Column11">
      <calculatedColumnFormula>SUM(F11:J11)</calculatedColumnFormula>
    </tableColumn>
  </tableColumns>
  <tableStyleInfo name="Financials-style 2"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3853CBD-6B8B-2B4C-A728-6E2FDBCCE772}" name="Table_3" displayName="Table_3" ref="B16:L18" headerRowCount="0">
  <tableColumns count="11">
    <tableColumn id="1" xr3:uid="{00000000-0010-0000-0200-000001000000}" name="Column1"/>
    <tableColumn id="2" xr3:uid="{00000000-0010-0000-0200-000002000000}" name="Column2"/>
    <tableColumn id="3" xr3:uid="{00000000-0010-0000-0200-000003000000}" name="Column3"/>
    <tableColumn id="4" xr3:uid="{00000000-0010-0000-0200-000004000000}" name="Column4"/>
    <tableColumn id="5" xr3:uid="{00000000-0010-0000-0200-000005000000}" name="Column5"/>
    <tableColumn id="6" xr3:uid="{00000000-0010-0000-0200-000006000000}" name="Column6">
      <calculatedColumnFormula>$F16*(1+Input!$C$45)^(G$2-$F$2)</calculatedColumnFormula>
    </tableColumn>
    <tableColumn id="7" xr3:uid="{00000000-0010-0000-0200-000007000000}" name="Column7">
      <calculatedColumnFormula>$F16*(1+Input!$C$45)^(H$2-$F$2)</calculatedColumnFormula>
    </tableColumn>
    <tableColumn id="8" xr3:uid="{00000000-0010-0000-0200-000008000000}" name="Column8">
      <calculatedColumnFormula>$F16*(1+Input!$C$45)^(I$2-$F$2)</calculatedColumnFormula>
    </tableColumn>
    <tableColumn id="9" xr3:uid="{00000000-0010-0000-0200-000009000000}" name="Column9">
      <calculatedColumnFormula>$F16*(1+Input!$C$45)^(J$2-$F$2)</calculatedColumnFormula>
    </tableColumn>
    <tableColumn id="10" xr3:uid="{00000000-0010-0000-0200-00000A000000}" name="Column10"/>
    <tableColumn id="11" xr3:uid="{00000000-0010-0000-0200-00000B000000}" name="Column11">
      <calculatedColumnFormula>SUM(F16:J16)</calculatedColumnFormula>
    </tableColumn>
  </tableColumns>
  <tableStyleInfo name="Financials-style 3"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4F00B-E98C-8C40-9185-F9E60AE36808}">
  <dimension ref="B1:K80"/>
  <sheetViews>
    <sheetView showGridLines="0" topLeftCell="A40" workbookViewId="0">
      <selection activeCell="K59" sqref="K59"/>
    </sheetView>
  </sheetViews>
  <sheetFormatPr baseColWidth="10" defaultColWidth="11" defaultRowHeight="16" x14ac:dyDescent="0.2"/>
  <cols>
    <col min="1" max="1" width="5" customWidth="1"/>
    <col min="2" max="2" width="80.6640625" bestFit="1" customWidth="1"/>
    <col min="4" max="4" width="12.33203125" bestFit="1" customWidth="1"/>
  </cols>
  <sheetData>
    <row r="1" spans="2:4" ht="30" customHeight="1" x14ac:dyDescent="0.2"/>
    <row r="2" spans="2:4" x14ac:dyDescent="0.2">
      <c r="B2" s="241" t="s">
        <v>102</v>
      </c>
      <c r="C2" s="242"/>
    </row>
    <row r="3" spans="2:4" x14ac:dyDescent="0.2">
      <c r="B3" s="10" t="s">
        <v>0</v>
      </c>
      <c r="C3" s="127">
        <v>36000</v>
      </c>
    </row>
    <row r="4" spans="2:4" x14ac:dyDescent="0.2">
      <c r="B4" s="10" t="s">
        <v>1</v>
      </c>
      <c r="C4" s="127">
        <v>236436</v>
      </c>
    </row>
    <row r="5" spans="2:4" x14ac:dyDescent="0.2">
      <c r="B5" s="10" t="s">
        <v>2</v>
      </c>
      <c r="C5" s="36">
        <v>50000</v>
      </c>
    </row>
    <row r="6" spans="2:4" x14ac:dyDescent="0.2">
      <c r="B6" s="10" t="s">
        <v>72</v>
      </c>
      <c r="C6" s="36">
        <v>246</v>
      </c>
    </row>
    <row r="7" spans="2:4" x14ac:dyDescent="0.2">
      <c r="B7" s="37" t="s">
        <v>73</v>
      </c>
      <c r="C7" s="40">
        <v>173</v>
      </c>
    </row>
    <row r="9" spans="2:4" x14ac:dyDescent="0.2">
      <c r="B9" s="235" t="s">
        <v>74</v>
      </c>
      <c r="C9" s="236"/>
      <c r="D9" s="237"/>
    </row>
    <row r="10" spans="2:4" s="126" customFormat="1" x14ac:dyDescent="0.2">
      <c r="B10" s="128"/>
      <c r="C10" s="129"/>
      <c r="D10" s="130"/>
    </row>
    <row r="11" spans="2:4" s="126" customFormat="1" x14ac:dyDescent="0.2">
      <c r="B11" s="238" t="s">
        <v>99</v>
      </c>
      <c r="C11" s="239"/>
      <c r="D11" s="240"/>
    </row>
    <row r="12" spans="2:4" s="126" customFormat="1" x14ac:dyDescent="0.2">
      <c r="B12" s="131" t="s">
        <v>100</v>
      </c>
      <c r="C12" s="132" t="s">
        <v>3</v>
      </c>
      <c r="D12" s="133" t="s">
        <v>101</v>
      </c>
    </row>
    <row r="13" spans="2:4" s="126" customFormat="1" x14ac:dyDescent="0.2">
      <c r="B13" s="10" t="s">
        <v>107</v>
      </c>
      <c r="C13" s="35">
        <v>25</v>
      </c>
      <c r="D13" s="34">
        <v>95000</v>
      </c>
    </row>
    <row r="14" spans="2:4" s="126" customFormat="1" x14ac:dyDescent="0.2">
      <c r="B14" s="10" t="s">
        <v>89</v>
      </c>
      <c r="C14" s="35">
        <v>25</v>
      </c>
      <c r="D14" s="34">
        <v>15000</v>
      </c>
    </row>
    <row r="15" spans="2:4" s="126" customFormat="1" x14ac:dyDescent="0.2">
      <c r="B15" s="10" t="s">
        <v>90</v>
      </c>
      <c r="C15" s="35">
        <v>25</v>
      </c>
      <c r="D15" s="34">
        <v>33000</v>
      </c>
    </row>
    <row r="16" spans="2:4" s="29" customFormat="1" x14ac:dyDescent="0.2">
      <c r="B16" s="10" t="s">
        <v>143</v>
      </c>
      <c r="C16" s="35" t="s">
        <v>144</v>
      </c>
      <c r="D16" s="34">
        <v>60000</v>
      </c>
    </row>
    <row r="17" spans="2:4" s="29" customFormat="1" x14ac:dyDescent="0.2">
      <c r="B17" s="10"/>
      <c r="C17" s="35"/>
      <c r="D17" s="34"/>
    </row>
    <row r="18" spans="2:4" s="29" customFormat="1" x14ac:dyDescent="0.2">
      <c r="B18" s="10" t="s">
        <v>136</v>
      </c>
      <c r="C18" s="56">
        <v>0.4</v>
      </c>
      <c r="D18" s="34"/>
    </row>
    <row r="19" spans="2:4" s="29" customFormat="1" x14ac:dyDescent="0.2">
      <c r="B19" s="10" t="s">
        <v>137</v>
      </c>
      <c r="C19" s="159">
        <v>227</v>
      </c>
      <c r="D19" s="34"/>
    </row>
    <row r="20" spans="2:4" s="29" customFormat="1" x14ac:dyDescent="0.2">
      <c r="B20" s="134" t="s">
        <v>138</v>
      </c>
      <c r="C20" s="158">
        <v>7.25</v>
      </c>
      <c r="D20" s="34"/>
    </row>
    <row r="21" spans="2:4" s="125" customFormat="1" x14ac:dyDescent="0.2">
      <c r="B21" s="134"/>
      <c r="C21" s="135"/>
      <c r="D21" s="136"/>
    </row>
    <row r="22" spans="2:4" s="125" customFormat="1" x14ac:dyDescent="0.2">
      <c r="B22" s="238" t="s">
        <v>108</v>
      </c>
      <c r="C22" s="239"/>
      <c r="D22" s="240"/>
    </row>
    <row r="23" spans="2:4" s="125" customFormat="1" x14ac:dyDescent="0.2">
      <c r="B23" s="131" t="s">
        <v>106</v>
      </c>
      <c r="C23" s="137" t="s">
        <v>104</v>
      </c>
      <c r="D23" s="133" t="s">
        <v>39</v>
      </c>
    </row>
    <row r="24" spans="2:4" s="125" customFormat="1" x14ac:dyDescent="0.2">
      <c r="B24" s="128" t="s">
        <v>125</v>
      </c>
      <c r="C24" s="129"/>
      <c r="D24" s="138">
        <v>4</v>
      </c>
    </row>
    <row r="25" spans="2:4" s="125" customFormat="1" x14ac:dyDescent="0.2">
      <c r="B25" s="128" t="s">
        <v>4</v>
      </c>
      <c r="C25" s="129" t="s">
        <v>105</v>
      </c>
      <c r="D25" s="138">
        <v>4.2</v>
      </c>
    </row>
    <row r="26" spans="2:4" s="125" customFormat="1" x14ac:dyDescent="0.2">
      <c r="B26" s="128"/>
      <c r="C26" s="129" t="s">
        <v>27</v>
      </c>
      <c r="D26" s="138">
        <v>6.29</v>
      </c>
    </row>
    <row r="27" spans="2:4" s="125" customFormat="1" x14ac:dyDescent="0.2">
      <c r="B27" s="128" t="s">
        <v>6</v>
      </c>
      <c r="C27" s="129" t="s">
        <v>105</v>
      </c>
      <c r="D27" s="138">
        <v>4.2</v>
      </c>
    </row>
    <row r="28" spans="2:4" s="125" customFormat="1" x14ac:dyDescent="0.2">
      <c r="B28" s="128"/>
      <c r="C28" s="129" t="s">
        <v>27</v>
      </c>
      <c r="D28" s="138">
        <v>6.29</v>
      </c>
    </row>
    <row r="29" spans="2:4" s="125" customFormat="1" x14ac:dyDescent="0.2">
      <c r="B29" s="128"/>
      <c r="C29" s="129"/>
      <c r="D29" s="138"/>
    </row>
    <row r="30" spans="2:4" s="125" customFormat="1" x14ac:dyDescent="0.2">
      <c r="B30" s="243" t="s">
        <v>121</v>
      </c>
      <c r="C30" s="244"/>
      <c r="D30" s="245"/>
    </row>
    <row r="31" spans="2:4" s="125" customFormat="1" x14ac:dyDescent="0.2">
      <c r="B31" s="128" t="s">
        <v>124</v>
      </c>
      <c r="C31" s="152">
        <v>3.1</v>
      </c>
      <c r="D31" s="138"/>
    </row>
    <row r="32" spans="2:4" s="125" customFormat="1" x14ac:dyDescent="0.2">
      <c r="B32" s="128" t="s">
        <v>122</v>
      </c>
      <c r="C32" s="152">
        <v>3.25</v>
      </c>
      <c r="D32" s="138"/>
    </row>
    <row r="33" spans="2:11" s="125" customFormat="1" x14ac:dyDescent="0.2">
      <c r="B33" s="151" t="s">
        <v>2</v>
      </c>
      <c r="C33" s="153">
        <v>6</v>
      </c>
      <c r="D33" s="139"/>
    </row>
    <row r="34" spans="2:11" s="125" customFormat="1" x14ac:dyDescent="0.2">
      <c r="B34" s="151"/>
      <c r="C34" s="153"/>
      <c r="D34" s="139"/>
    </row>
    <row r="35" spans="2:11" s="125" customFormat="1" x14ac:dyDescent="0.2">
      <c r="B35" s="151" t="s">
        <v>126</v>
      </c>
      <c r="C35" s="156">
        <v>4</v>
      </c>
      <c r="D35" s="157"/>
    </row>
    <row r="36" spans="2:11" s="125" customFormat="1" x14ac:dyDescent="0.2">
      <c r="B36" s="151"/>
      <c r="C36" s="156"/>
      <c r="D36" s="157"/>
    </row>
    <row r="37" spans="2:11" s="125" customFormat="1" x14ac:dyDescent="0.2">
      <c r="B37" s="238" t="s">
        <v>103</v>
      </c>
      <c r="C37" s="239"/>
      <c r="D37" s="240"/>
    </row>
    <row r="38" spans="2:11" x14ac:dyDescent="0.2">
      <c r="B38" s="10" t="s">
        <v>37</v>
      </c>
      <c r="C38" s="35">
        <v>40</v>
      </c>
      <c r="D38" s="36"/>
    </row>
    <row r="39" spans="2:11" x14ac:dyDescent="0.2">
      <c r="B39" s="10" t="s">
        <v>75</v>
      </c>
      <c r="C39" s="35">
        <f>4</f>
        <v>4</v>
      </c>
      <c r="D39" s="36"/>
    </row>
    <row r="40" spans="2:11" x14ac:dyDescent="0.2">
      <c r="B40" s="10" t="s">
        <v>76</v>
      </c>
      <c r="C40" s="35">
        <v>2</v>
      </c>
      <c r="D40" s="36"/>
    </row>
    <row r="41" spans="2:11" x14ac:dyDescent="0.2">
      <c r="B41" s="37" t="s">
        <v>38</v>
      </c>
      <c r="C41" s="39">
        <v>5</v>
      </c>
      <c r="D41" s="40"/>
    </row>
    <row r="42" spans="2:11" x14ac:dyDescent="0.2">
      <c r="B42" s="35"/>
      <c r="C42" s="35"/>
      <c r="D42" s="35"/>
    </row>
    <row r="43" spans="2:11" x14ac:dyDescent="0.2">
      <c r="B43" s="35"/>
      <c r="C43" s="35"/>
      <c r="D43" s="35"/>
    </row>
    <row r="44" spans="2:11" x14ac:dyDescent="0.2">
      <c r="B44" s="235" t="s">
        <v>226</v>
      </c>
      <c r="C44" s="236"/>
      <c r="D44" s="237"/>
    </row>
    <row r="45" spans="2:11" x14ac:dyDescent="0.2">
      <c r="B45" s="205" t="s">
        <v>201</v>
      </c>
      <c r="C45" s="206">
        <v>0.1</v>
      </c>
      <c r="D45" s="207"/>
      <c r="E45" s="179"/>
      <c r="F45" s="179"/>
      <c r="G45" s="179"/>
      <c r="H45" s="179"/>
      <c r="I45" s="179"/>
      <c r="J45" s="179"/>
      <c r="K45" s="179"/>
    </row>
    <row r="46" spans="2:11" x14ac:dyDescent="0.2">
      <c r="B46" s="205" t="s">
        <v>136</v>
      </c>
      <c r="C46" s="206">
        <v>0.28000000000000003</v>
      </c>
      <c r="D46" s="207"/>
      <c r="E46" s="179"/>
      <c r="F46" s="179"/>
      <c r="G46" s="179"/>
      <c r="H46" s="179"/>
      <c r="I46" s="179"/>
      <c r="J46" s="179"/>
      <c r="K46" s="179"/>
    </row>
    <row r="47" spans="2:11" x14ac:dyDescent="0.2">
      <c r="B47" s="208"/>
      <c r="C47" s="209"/>
      <c r="D47" s="207"/>
      <c r="E47" s="179"/>
      <c r="F47" s="179"/>
      <c r="G47" s="179"/>
      <c r="H47" s="179"/>
      <c r="I47" s="179"/>
      <c r="J47" s="179"/>
      <c r="K47" s="179"/>
    </row>
    <row r="48" spans="2:11" x14ac:dyDescent="0.2">
      <c r="B48" s="229" t="s">
        <v>200</v>
      </c>
      <c r="C48" s="230" t="s">
        <v>199</v>
      </c>
      <c r="D48" s="231" t="s">
        <v>194</v>
      </c>
      <c r="E48" s="179"/>
      <c r="F48" s="179"/>
      <c r="G48" s="179"/>
      <c r="H48" s="179"/>
      <c r="I48" s="179"/>
      <c r="J48" s="179"/>
      <c r="K48" s="179"/>
    </row>
    <row r="49" spans="2:11" x14ac:dyDescent="0.2">
      <c r="B49" s="205" t="s">
        <v>198</v>
      </c>
      <c r="C49" s="206">
        <v>0</v>
      </c>
      <c r="D49" s="210">
        <v>0</v>
      </c>
      <c r="E49" s="179"/>
      <c r="F49" s="179"/>
      <c r="G49" s="179"/>
      <c r="H49" s="179"/>
      <c r="I49" s="179"/>
      <c r="J49" s="179"/>
      <c r="K49" s="179"/>
    </row>
    <row r="50" spans="2:11" x14ac:dyDescent="0.2">
      <c r="B50" s="205" t="s">
        <v>169</v>
      </c>
      <c r="C50" s="211">
        <v>9.8000000000000004E-2</v>
      </c>
      <c r="D50" s="212">
        <v>0.216</v>
      </c>
      <c r="E50" s="179"/>
      <c r="F50" s="179"/>
      <c r="G50" s="179"/>
      <c r="H50" s="179"/>
      <c r="I50" s="179"/>
      <c r="J50" s="179"/>
      <c r="K50" s="179"/>
    </row>
    <row r="51" spans="2:11" x14ac:dyDescent="0.2">
      <c r="B51" s="205" t="s">
        <v>197</v>
      </c>
      <c r="C51" s="211">
        <v>0.05</v>
      </c>
      <c r="D51" s="212">
        <v>0.1</v>
      </c>
      <c r="E51" s="179"/>
      <c r="F51" s="179"/>
      <c r="G51" s="179"/>
      <c r="H51" s="179"/>
      <c r="I51" s="179"/>
      <c r="J51" s="179"/>
      <c r="K51" s="179"/>
    </row>
    <row r="52" spans="2:11" x14ac:dyDescent="0.2">
      <c r="B52" s="205" t="s">
        <v>196</v>
      </c>
      <c r="C52" s="211">
        <v>5.45E-2</v>
      </c>
      <c r="D52" s="212">
        <v>0.27100000000000002</v>
      </c>
      <c r="E52" s="179"/>
      <c r="F52" s="179"/>
      <c r="G52" s="179"/>
      <c r="H52" s="179"/>
      <c r="I52" s="179"/>
      <c r="J52" s="179"/>
      <c r="K52" s="179"/>
    </row>
    <row r="53" spans="2:11" x14ac:dyDescent="0.2">
      <c r="B53" s="208"/>
      <c r="C53" s="209"/>
      <c r="D53" s="207"/>
      <c r="E53" s="179"/>
      <c r="F53" s="179"/>
      <c r="G53" s="179"/>
      <c r="H53" s="179"/>
      <c r="I53" s="179"/>
      <c r="J53" s="179"/>
      <c r="K53" s="179"/>
    </row>
    <row r="54" spans="2:11" x14ac:dyDescent="0.2">
      <c r="B54" s="232" t="s">
        <v>195</v>
      </c>
      <c r="C54" s="233"/>
      <c r="D54" s="234" t="s">
        <v>194</v>
      </c>
      <c r="E54" s="179"/>
      <c r="F54" s="179"/>
      <c r="G54" s="179"/>
      <c r="H54" s="179"/>
      <c r="I54" s="179"/>
      <c r="J54" s="179"/>
      <c r="K54" s="179"/>
    </row>
    <row r="55" spans="2:11" x14ac:dyDescent="0.2">
      <c r="B55" s="205" t="s">
        <v>193</v>
      </c>
      <c r="C55" s="209"/>
      <c r="D55" s="212">
        <v>0.15049999999999999</v>
      </c>
      <c r="E55" s="179"/>
      <c r="F55" s="179"/>
      <c r="G55" s="179"/>
      <c r="H55" s="179"/>
      <c r="I55" s="179"/>
      <c r="J55" s="179"/>
      <c r="K55" s="179"/>
    </row>
    <row r="56" spans="2:11" x14ac:dyDescent="0.2">
      <c r="B56" s="213" t="s">
        <v>192</v>
      </c>
      <c r="C56" s="214"/>
      <c r="D56" s="215">
        <v>9096</v>
      </c>
      <c r="E56" s="179"/>
      <c r="F56" s="179"/>
      <c r="G56" s="179"/>
      <c r="H56" s="179"/>
      <c r="I56" s="179"/>
      <c r="J56" s="179"/>
      <c r="K56" s="179"/>
    </row>
    <row r="57" spans="2:11" x14ac:dyDescent="0.2">
      <c r="B57" s="179"/>
      <c r="C57" s="179"/>
      <c r="D57" s="179"/>
      <c r="E57" s="179"/>
      <c r="F57" s="179"/>
      <c r="G57" s="179"/>
      <c r="H57" s="179"/>
      <c r="I57" s="179"/>
      <c r="J57" s="179"/>
      <c r="K57" s="179"/>
    </row>
    <row r="58" spans="2:11" x14ac:dyDescent="0.2">
      <c r="B58" s="222" t="s">
        <v>191</v>
      </c>
      <c r="C58" s="223" t="s">
        <v>191</v>
      </c>
      <c r="D58" s="223" t="s">
        <v>190</v>
      </c>
      <c r="E58" s="223" t="s">
        <v>189</v>
      </c>
      <c r="F58" s="223" t="s">
        <v>188</v>
      </c>
      <c r="G58" s="223" t="s">
        <v>187</v>
      </c>
      <c r="H58" s="223" t="s">
        <v>186</v>
      </c>
      <c r="I58" s="223" t="s">
        <v>185</v>
      </c>
      <c r="J58" s="223" t="s">
        <v>184</v>
      </c>
      <c r="K58" s="224" t="s">
        <v>183</v>
      </c>
    </row>
    <row r="59" spans="2:11" x14ac:dyDescent="0.2">
      <c r="B59" s="216" t="s">
        <v>180</v>
      </c>
      <c r="C59" s="217" t="s">
        <v>151</v>
      </c>
      <c r="D59" s="217" t="s">
        <v>182</v>
      </c>
      <c r="E59" s="218" t="s">
        <v>169</v>
      </c>
      <c r="F59" s="218" t="s">
        <v>168</v>
      </c>
      <c r="G59" s="218" t="s">
        <v>178</v>
      </c>
      <c r="H59" s="219">
        <v>92060.800000000003</v>
      </c>
      <c r="I59" s="220">
        <f t="shared" ref="I59:I66" si="0">IFERROR(VLOOKUP(E59,$B$49:$D$52,3,0)*H59,0)</f>
        <v>19885.132799999999</v>
      </c>
      <c r="J59" s="220">
        <f t="shared" ref="J59:J66" si="1">IFERROR(MAX(0,IF(F59="yes",(H59-$D$56-(H59*VLOOKUP(E59,$B$49:$D$52,2,0)))*$D$55,(H59-$D$56)*$D$55)),0)</f>
        <v>11128.397660799999</v>
      </c>
      <c r="K59" s="221">
        <f t="shared" ref="K59:K66" si="2">H59+I59+J59</f>
        <v>123074.3304608</v>
      </c>
    </row>
    <row r="60" spans="2:11" x14ac:dyDescent="0.2">
      <c r="B60" s="216" t="s">
        <v>180</v>
      </c>
      <c r="C60" s="217" t="s">
        <v>150</v>
      </c>
      <c r="D60" s="217" t="s">
        <v>181</v>
      </c>
      <c r="E60" s="218" t="s">
        <v>169</v>
      </c>
      <c r="F60" s="218" t="s">
        <v>168</v>
      </c>
      <c r="G60" s="218" t="s">
        <v>178</v>
      </c>
      <c r="H60" s="219">
        <v>66339.520000000004</v>
      </c>
      <c r="I60" s="220">
        <f t="shared" si="0"/>
        <v>14329.33632</v>
      </c>
      <c r="J60" s="220">
        <f t="shared" si="1"/>
        <v>7636.7081795200002</v>
      </c>
      <c r="K60" s="221">
        <f t="shared" si="2"/>
        <v>88305.564499520013</v>
      </c>
    </row>
    <row r="61" spans="2:11" x14ac:dyDescent="0.2">
      <c r="B61" s="225" t="s">
        <v>180</v>
      </c>
      <c r="C61" s="226" t="s">
        <v>157</v>
      </c>
      <c r="D61" s="226" t="s">
        <v>179</v>
      </c>
      <c r="E61" s="227" t="s">
        <v>169</v>
      </c>
      <c r="F61" s="227" t="s">
        <v>168</v>
      </c>
      <c r="G61" s="227" t="s">
        <v>178</v>
      </c>
      <c r="H61" s="228">
        <v>79200.160000000003</v>
      </c>
      <c r="I61" s="220">
        <f t="shared" si="0"/>
        <v>17107.234560000001</v>
      </c>
      <c r="J61" s="220">
        <f t="shared" si="1"/>
        <v>9382.5529201600002</v>
      </c>
      <c r="K61" s="221">
        <f t="shared" si="2"/>
        <v>105689.94748016</v>
      </c>
    </row>
    <row r="62" spans="2:11" x14ac:dyDescent="0.2">
      <c r="B62" s="216" t="s">
        <v>175</v>
      </c>
      <c r="C62" s="217" t="s">
        <v>151</v>
      </c>
      <c r="D62" s="217" t="s">
        <v>177</v>
      </c>
      <c r="E62" s="218" t="s">
        <v>169</v>
      </c>
      <c r="F62" s="218" t="s">
        <v>168</v>
      </c>
      <c r="G62" s="218" t="s">
        <v>173</v>
      </c>
      <c r="H62" s="219">
        <v>70399.679999999993</v>
      </c>
      <c r="I62" s="220">
        <f t="shared" si="0"/>
        <v>15206.330879999998</v>
      </c>
      <c r="J62" s="220">
        <f t="shared" si="1"/>
        <v>8187.8789596799979</v>
      </c>
      <c r="K62" s="221">
        <f t="shared" si="2"/>
        <v>93793.889839679992</v>
      </c>
    </row>
    <row r="63" spans="2:11" x14ac:dyDescent="0.2">
      <c r="B63" s="216" t="s">
        <v>175</v>
      </c>
      <c r="C63" s="217" t="s">
        <v>150</v>
      </c>
      <c r="D63" s="217" t="s">
        <v>176</v>
      </c>
      <c r="E63" s="218" t="s">
        <v>169</v>
      </c>
      <c r="F63" s="218" t="s">
        <v>168</v>
      </c>
      <c r="G63" s="218" t="s">
        <v>173</v>
      </c>
      <c r="H63" s="219">
        <v>44551.519999999997</v>
      </c>
      <c r="I63" s="220">
        <f t="shared" si="0"/>
        <v>9623.1283199999998</v>
      </c>
      <c r="J63" s="220">
        <f t="shared" si="1"/>
        <v>4678.9653915199997</v>
      </c>
      <c r="K63" s="221">
        <f t="shared" si="2"/>
        <v>58853.613711519996</v>
      </c>
    </row>
    <row r="64" spans="2:11" x14ac:dyDescent="0.2">
      <c r="B64" s="216" t="s">
        <v>175</v>
      </c>
      <c r="C64" s="217" t="s">
        <v>157</v>
      </c>
      <c r="D64" s="217" t="s">
        <v>174</v>
      </c>
      <c r="E64" s="218" t="s">
        <v>169</v>
      </c>
      <c r="F64" s="218" t="s">
        <v>168</v>
      </c>
      <c r="G64" s="218" t="s">
        <v>173</v>
      </c>
      <c r="H64" s="219">
        <v>57475.6</v>
      </c>
      <c r="I64" s="220">
        <f t="shared" si="0"/>
        <v>12414.729599999999</v>
      </c>
      <c r="J64" s="220">
        <f t="shared" si="1"/>
        <v>6433.4221755999997</v>
      </c>
      <c r="K64" s="221">
        <f t="shared" si="2"/>
        <v>76323.751775600002</v>
      </c>
    </row>
    <row r="65" spans="2:11" x14ac:dyDescent="0.2">
      <c r="B65" s="216" t="s">
        <v>166</v>
      </c>
      <c r="C65" s="217" t="s">
        <v>151</v>
      </c>
      <c r="D65" s="217" t="s">
        <v>172</v>
      </c>
      <c r="E65" s="218" t="s">
        <v>169</v>
      </c>
      <c r="F65" s="218" t="s">
        <v>168</v>
      </c>
      <c r="G65" s="218" t="s">
        <v>171</v>
      </c>
      <c r="H65" s="219">
        <v>54153.84</v>
      </c>
      <c r="I65" s="220">
        <f t="shared" si="0"/>
        <v>11697.229439999999</v>
      </c>
      <c r="J65" s="220">
        <f t="shared" si="1"/>
        <v>5982.4899338399991</v>
      </c>
      <c r="K65" s="221">
        <f t="shared" si="2"/>
        <v>71833.559373839991</v>
      </c>
    </row>
    <row r="66" spans="2:11" x14ac:dyDescent="0.2">
      <c r="B66" s="216" t="s">
        <v>166</v>
      </c>
      <c r="C66" s="217" t="s">
        <v>150</v>
      </c>
      <c r="D66" s="217" t="s">
        <v>170</v>
      </c>
      <c r="E66" s="218" t="s">
        <v>169</v>
      </c>
      <c r="F66" s="218" t="s">
        <v>168</v>
      </c>
      <c r="G66" s="218" t="s">
        <v>167</v>
      </c>
      <c r="H66" s="219">
        <v>32600.880000000001</v>
      </c>
      <c r="I66" s="220">
        <f t="shared" si="0"/>
        <v>7041.7900799999998</v>
      </c>
      <c r="J66" s="220">
        <f t="shared" si="1"/>
        <v>3056.6540608800001</v>
      </c>
      <c r="K66" s="221">
        <f t="shared" si="2"/>
        <v>42699.324140880002</v>
      </c>
    </row>
    <row r="67" spans="2:11" x14ac:dyDescent="0.2">
      <c r="B67" s="216" t="s">
        <v>166</v>
      </c>
      <c r="C67" s="217" t="s">
        <v>157</v>
      </c>
      <c r="D67" s="217" t="s">
        <v>165</v>
      </c>
      <c r="E67" s="218"/>
      <c r="F67" s="218"/>
      <c r="G67" s="218"/>
      <c r="H67" s="219">
        <v>43377.36</v>
      </c>
      <c r="I67" s="220"/>
      <c r="J67" s="209"/>
      <c r="K67" s="207"/>
    </row>
    <row r="68" spans="2:11" x14ac:dyDescent="0.2">
      <c r="B68" s="216" t="s">
        <v>162</v>
      </c>
      <c r="C68" s="217" t="s">
        <v>151</v>
      </c>
      <c r="D68" s="217" t="s">
        <v>164</v>
      </c>
      <c r="E68" s="218"/>
      <c r="F68" s="218"/>
      <c r="G68" s="218"/>
      <c r="H68" s="219">
        <v>34662.160000000003</v>
      </c>
      <c r="I68" s="220"/>
      <c r="J68" s="209"/>
      <c r="K68" s="207"/>
    </row>
    <row r="69" spans="2:11" x14ac:dyDescent="0.2">
      <c r="B69" s="216" t="s">
        <v>162</v>
      </c>
      <c r="C69" s="217" t="s">
        <v>150</v>
      </c>
      <c r="D69" s="217" t="s">
        <v>163</v>
      </c>
      <c r="E69" s="218"/>
      <c r="F69" s="218"/>
      <c r="G69" s="218"/>
      <c r="H69" s="219">
        <v>27022.32</v>
      </c>
      <c r="I69" s="220"/>
      <c r="J69" s="209"/>
      <c r="K69" s="207"/>
    </row>
    <row r="70" spans="2:11" x14ac:dyDescent="0.2">
      <c r="B70" s="216" t="s">
        <v>162</v>
      </c>
      <c r="C70" s="217" t="s">
        <v>157</v>
      </c>
      <c r="D70" s="217" t="s">
        <v>161</v>
      </c>
      <c r="E70" s="218"/>
      <c r="F70" s="218"/>
      <c r="G70" s="218"/>
      <c r="H70" s="219">
        <v>30842.240000000002</v>
      </c>
      <c r="I70" s="220"/>
      <c r="J70" s="209"/>
      <c r="K70" s="207"/>
    </row>
    <row r="71" spans="2:11" x14ac:dyDescent="0.2">
      <c r="B71" s="216" t="s">
        <v>158</v>
      </c>
      <c r="C71" s="217" t="s">
        <v>151</v>
      </c>
      <c r="D71" s="217" t="s">
        <v>160</v>
      </c>
      <c r="E71" s="218"/>
      <c r="F71" s="218"/>
      <c r="G71" s="218"/>
      <c r="H71" s="219">
        <v>27622.400000000001</v>
      </c>
      <c r="I71" s="220"/>
      <c r="J71" s="209"/>
      <c r="K71" s="207"/>
    </row>
    <row r="72" spans="2:11" x14ac:dyDescent="0.2">
      <c r="B72" s="216" t="s">
        <v>158</v>
      </c>
      <c r="C72" s="217" t="s">
        <v>150</v>
      </c>
      <c r="D72" s="217" t="s">
        <v>159</v>
      </c>
      <c r="E72" s="218"/>
      <c r="F72" s="218"/>
      <c r="G72" s="218"/>
      <c r="H72" s="219">
        <v>24028.16</v>
      </c>
      <c r="I72" s="220"/>
      <c r="J72" s="209"/>
      <c r="K72" s="207"/>
    </row>
    <row r="73" spans="2:11" x14ac:dyDescent="0.2">
      <c r="B73" s="216" t="s">
        <v>158</v>
      </c>
      <c r="C73" s="217" t="s">
        <v>157</v>
      </c>
      <c r="D73" s="217" t="s">
        <v>156</v>
      </c>
      <c r="E73" s="218"/>
      <c r="F73" s="218"/>
      <c r="G73" s="218"/>
      <c r="H73" s="219">
        <v>25825.279999999999</v>
      </c>
      <c r="I73" s="220"/>
      <c r="J73" s="209"/>
      <c r="K73" s="207"/>
    </row>
    <row r="74" spans="2:11" x14ac:dyDescent="0.2">
      <c r="B74" s="216" t="s">
        <v>153</v>
      </c>
      <c r="C74" s="217" t="s">
        <v>151</v>
      </c>
      <c r="D74" s="217" t="s">
        <v>155</v>
      </c>
      <c r="E74" s="218"/>
      <c r="F74" s="218"/>
      <c r="G74" s="218"/>
      <c r="H74" s="219">
        <v>24201.84</v>
      </c>
      <c r="I74" s="220"/>
      <c r="J74" s="209"/>
      <c r="K74" s="207"/>
    </row>
    <row r="75" spans="2:11" x14ac:dyDescent="0.2">
      <c r="B75" s="216" t="s">
        <v>153</v>
      </c>
      <c r="C75" s="217" t="s">
        <v>150</v>
      </c>
      <c r="D75" s="217" t="s">
        <v>154</v>
      </c>
      <c r="E75" s="218"/>
      <c r="F75" s="218"/>
      <c r="G75" s="218"/>
      <c r="H75" s="219">
        <v>21412.560000000001</v>
      </c>
      <c r="I75" s="220"/>
      <c r="J75" s="209"/>
      <c r="K75" s="207"/>
    </row>
    <row r="76" spans="2:11" x14ac:dyDescent="0.2">
      <c r="B76" s="216" t="s">
        <v>153</v>
      </c>
      <c r="C76" s="217" t="s">
        <v>147</v>
      </c>
      <c r="D76" s="217" t="s">
        <v>152</v>
      </c>
      <c r="E76" s="218"/>
      <c r="F76" s="218"/>
      <c r="G76" s="218"/>
      <c r="H76" s="219">
        <v>22807.200000000001</v>
      </c>
      <c r="I76" s="220"/>
      <c r="J76" s="209"/>
      <c r="K76" s="207"/>
    </row>
    <row r="77" spans="2:11" x14ac:dyDescent="0.2">
      <c r="B77" s="216" t="s">
        <v>148</v>
      </c>
      <c r="C77" s="217" t="s">
        <v>151</v>
      </c>
      <c r="D77" s="217" t="s">
        <v>149</v>
      </c>
      <c r="E77" s="218"/>
      <c r="F77" s="218"/>
      <c r="G77" s="218"/>
      <c r="H77" s="219">
        <v>22423.439999999999</v>
      </c>
      <c r="I77" s="220"/>
      <c r="J77" s="209"/>
      <c r="K77" s="207"/>
    </row>
    <row r="78" spans="2:11" x14ac:dyDescent="0.2">
      <c r="B78" s="216" t="s">
        <v>148</v>
      </c>
      <c r="C78" s="217" t="s">
        <v>150</v>
      </c>
      <c r="D78" s="217" t="s">
        <v>149</v>
      </c>
      <c r="E78" s="218"/>
      <c r="F78" s="218"/>
      <c r="G78" s="218"/>
      <c r="H78" s="219">
        <v>19118.32</v>
      </c>
      <c r="I78" s="220"/>
      <c r="J78" s="209"/>
      <c r="K78" s="207"/>
    </row>
    <row r="79" spans="2:11" x14ac:dyDescent="0.2">
      <c r="B79" s="216" t="s">
        <v>148</v>
      </c>
      <c r="C79" s="217" t="s">
        <v>147</v>
      </c>
      <c r="D79" s="217" t="s">
        <v>146</v>
      </c>
      <c r="E79" s="218"/>
      <c r="F79" s="218"/>
      <c r="G79" s="218"/>
      <c r="H79" s="219">
        <v>20770.88</v>
      </c>
      <c r="I79" s="220"/>
      <c r="J79" s="209"/>
      <c r="K79" s="207"/>
    </row>
    <row r="80" spans="2:11" x14ac:dyDescent="0.2">
      <c r="B80" s="37"/>
      <c r="C80" s="39"/>
      <c r="D80" s="39"/>
      <c r="E80" s="39"/>
      <c r="F80" s="39"/>
      <c r="G80" s="39"/>
      <c r="H80" s="39"/>
      <c r="I80" s="39"/>
      <c r="J80" s="39"/>
      <c r="K80" s="40"/>
    </row>
  </sheetData>
  <mergeCells count="7">
    <mergeCell ref="B44:D44"/>
    <mergeCell ref="B37:D37"/>
    <mergeCell ref="B9:D9"/>
    <mergeCell ref="B22:D22"/>
    <mergeCell ref="B2:C2"/>
    <mergeCell ref="B11:D11"/>
    <mergeCell ref="B30:D30"/>
  </mergeCell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303D2-D2B5-0741-B180-AE8EA258705A}">
  <dimension ref="B1:J18"/>
  <sheetViews>
    <sheetView showGridLines="0" tabSelected="1" zoomScale="140" zoomScaleNormal="140" workbookViewId="0"/>
  </sheetViews>
  <sheetFormatPr baseColWidth="10" defaultColWidth="11" defaultRowHeight="16" x14ac:dyDescent="0.2"/>
  <cols>
    <col min="1" max="1" width="5" customWidth="1"/>
    <col min="2" max="2" width="82.1640625" bestFit="1" customWidth="1"/>
    <col min="3" max="3" width="12.5" bestFit="1" customWidth="1"/>
    <col min="4" max="7" width="13.33203125" bestFit="1" customWidth="1"/>
    <col min="8" max="8" width="13.1640625" customWidth="1"/>
    <col min="9" max="9" width="4.1640625" customWidth="1"/>
    <col min="10" max="10" width="13.6640625" customWidth="1"/>
  </cols>
  <sheetData>
    <row r="1" spans="2:10" ht="30" customHeight="1" x14ac:dyDescent="0.2"/>
    <row r="2" spans="2:10" x14ac:dyDescent="0.2">
      <c r="B2" s="73"/>
      <c r="C2" s="74" t="s">
        <v>46</v>
      </c>
      <c r="D2" s="74" t="s">
        <v>28</v>
      </c>
      <c r="E2" s="74" t="s">
        <v>29</v>
      </c>
      <c r="F2" s="74" t="s">
        <v>30</v>
      </c>
      <c r="G2" s="74" t="s">
        <v>31</v>
      </c>
      <c r="H2" s="74" t="s">
        <v>32</v>
      </c>
      <c r="I2" s="74"/>
      <c r="J2" s="74" t="s">
        <v>26</v>
      </c>
    </row>
    <row r="3" spans="2:10" hidden="1" x14ac:dyDescent="0.2">
      <c r="D3" s="61">
        <v>1</v>
      </c>
      <c r="E3" s="61">
        <v>2</v>
      </c>
      <c r="F3" s="61">
        <v>3</v>
      </c>
      <c r="G3" s="61">
        <v>4</v>
      </c>
      <c r="H3" s="61">
        <v>5</v>
      </c>
      <c r="I3" s="30"/>
      <c r="J3" s="33"/>
    </row>
    <row r="4" spans="2:10" x14ac:dyDescent="0.2">
      <c r="B4" s="31" t="s">
        <v>42</v>
      </c>
      <c r="C4" s="54"/>
      <c r="D4" s="32">
        <f>'Costs and benefits'!$J$43</f>
        <v>49529.375</v>
      </c>
      <c r="E4" s="32">
        <f>'Costs and benefits'!$J$43</f>
        <v>49529.375</v>
      </c>
      <c r="F4" s="32">
        <f>'Costs and benefits'!$J$43</f>
        <v>49529.375</v>
      </c>
      <c r="G4" s="32">
        <f>'Costs and benefits'!$J$43</f>
        <v>49529.375</v>
      </c>
      <c r="H4" s="32">
        <f>'Costs and benefits'!$J$43</f>
        <v>49529.375</v>
      </c>
      <c r="I4" s="32"/>
      <c r="J4" s="41">
        <f>SUM(D4:H4)</f>
        <v>247646.875</v>
      </c>
    </row>
    <row r="5" spans="2:10" x14ac:dyDescent="0.2">
      <c r="B5" s="37" t="s">
        <v>217</v>
      </c>
      <c r="C5" s="39"/>
      <c r="D5" s="44">
        <f>'Costs and benefits'!$J$15</f>
        <v>18976584.884751633</v>
      </c>
      <c r="E5" s="44">
        <f>'Costs and benefits'!$J$15</f>
        <v>18976584.884751633</v>
      </c>
      <c r="F5" s="44">
        <f>'Costs and benefits'!$J$15</f>
        <v>18976584.884751633</v>
      </c>
      <c r="G5" s="44">
        <f>'Costs and benefits'!$J$15</f>
        <v>18976584.884751633</v>
      </c>
      <c r="H5" s="44">
        <f>'Costs and benefits'!$J$15</f>
        <v>18976584.884751633</v>
      </c>
      <c r="I5" s="44"/>
      <c r="J5" s="43">
        <f t="shared" ref="J5:J10" si="0">SUM(D5:H5)</f>
        <v>94882924.423758164</v>
      </c>
    </row>
    <row r="6" spans="2:10" x14ac:dyDescent="0.2">
      <c r="B6" s="35"/>
      <c r="C6" s="35"/>
      <c r="D6" s="33"/>
      <c r="E6" s="33"/>
      <c r="F6" s="33"/>
      <c r="G6" s="33"/>
      <c r="H6" s="33"/>
      <c r="I6" s="33"/>
      <c r="J6" s="33"/>
    </row>
    <row r="7" spans="2:10" x14ac:dyDescent="0.2">
      <c r="B7" s="31" t="s">
        <v>97</v>
      </c>
      <c r="C7" s="57">
        <f>'Estimate of PID adoption'!H11</f>
        <v>0.18084743804031606</v>
      </c>
      <c r="D7" s="57">
        <v>0.2</v>
      </c>
      <c r="E7" s="57">
        <v>0.4</v>
      </c>
      <c r="F7" s="57">
        <f>($H$7-$E$7)*(F3/$H$3)+$E$7</f>
        <v>0.66999999999999993</v>
      </c>
      <c r="G7" s="57">
        <f>($H$7-$E$7)*(G3/$H$3)+$E$7</f>
        <v>0.76</v>
      </c>
      <c r="H7" s="57">
        <v>0.85</v>
      </c>
      <c r="I7" s="53"/>
      <c r="J7" s="41"/>
    </row>
    <row r="8" spans="2:10" x14ac:dyDescent="0.2">
      <c r="B8" s="10" t="s">
        <v>218</v>
      </c>
      <c r="C8" s="62">
        <f>'Logistic function'!$D$37+('Logistic function'!$D$38-'Logistic function'!$D$37)*(1/(1+EXP(-'Logistic function'!$D$39*((C7*100)-'Logistic function'!$D$41)))^'Logistic function'!$D$40)</f>
        <v>0.10171370190418116</v>
      </c>
      <c r="D8" s="62">
        <f>'Logistic function'!$D$37+('Logistic function'!$D$38-'Logistic function'!$D$37)*(1/(1+EXP(-'Logistic function'!$D$39*((D7*100)-'Logistic function'!$D$41)))^'Logistic function'!$D$40)</f>
        <v>0.11062254396926989</v>
      </c>
      <c r="E8" s="56">
        <f>'Logistic function'!$D$37+('Logistic function'!$D$38-'Logistic function'!$D$37)*(1/(1+EXP(-'Logistic function'!$D$39*((E7*100)-'Logistic function'!$D$41)))^'Logistic function'!$D$40)</f>
        <v>0.26329302499408092</v>
      </c>
      <c r="F8" s="56">
        <f>'Logistic function'!$D$37+('Logistic function'!$D$38-'Logistic function'!$D$37)*(1/(1+EXP(-'Logistic function'!$D$39*((F7*100)-'Logistic function'!$D$41)))^'Logistic function'!$D$40)</f>
        <v>0.70561935547464627</v>
      </c>
      <c r="G8" s="56">
        <f>'Logistic function'!$D$37+('Logistic function'!$D$38-'Logistic function'!$D$37)*(1/(1+EXP(-'Logistic function'!$D$39*((G7*100)-'Logistic function'!$D$41)))^'Logistic function'!$D$40)</f>
        <v>0.84649187283793015</v>
      </c>
      <c r="H8" s="56">
        <f>'Logistic function'!$D$37+('Logistic function'!$D$38-'Logistic function'!$D$37)*(1/(1+EXP(-'Logistic function'!$D$39*((H7*100)-'Logistic function'!$D$41)))^'Logistic function'!$D$40)</f>
        <v>0.93214231732098562</v>
      </c>
      <c r="I8" s="52"/>
      <c r="J8" s="42"/>
    </row>
    <row r="9" spans="2:10" x14ac:dyDescent="0.2">
      <c r="B9" s="10" t="s">
        <v>219</v>
      </c>
      <c r="C9" s="35"/>
      <c r="D9" s="33">
        <f>D4*D8</f>
        <v>5479.065463707957</v>
      </c>
      <c r="E9" s="33">
        <f>E4*E8</f>
        <v>13040.738969816206</v>
      </c>
      <c r="F9" s="33">
        <f>F4*F8</f>
        <v>34948.885664562062</v>
      </c>
      <c r="G9" s="33">
        <f>G4*G8</f>
        <v>41926.213404242153</v>
      </c>
      <c r="H9" s="33">
        <f>H4*H8</f>
        <v>46168.426387960091</v>
      </c>
      <c r="I9" s="52"/>
      <c r="J9" s="42">
        <f t="shared" si="0"/>
        <v>141563.32989028847</v>
      </c>
    </row>
    <row r="10" spans="2:10" x14ac:dyDescent="0.2">
      <c r="B10" s="37" t="s">
        <v>220</v>
      </c>
      <c r="C10" s="39"/>
      <c r="D10" s="44">
        <f>D5*D8</f>
        <v>2099238.0958000198</v>
      </c>
      <c r="E10" s="44">
        <f>E5*E8</f>
        <v>4996402.4383632094</v>
      </c>
      <c r="F10" s="44">
        <f>F5*F8</f>
        <v>13390245.595488362</v>
      </c>
      <c r="G10" s="44">
        <f>G5*G8</f>
        <v>16063524.879161367</v>
      </c>
      <c r="H10" s="44">
        <f>H5*H8</f>
        <v>17688877.809310775</v>
      </c>
      <c r="I10" s="50"/>
      <c r="J10" s="43">
        <f t="shared" si="0"/>
        <v>54238288.818123728</v>
      </c>
    </row>
    <row r="11" spans="2:10" x14ac:dyDescent="0.2">
      <c r="B11" s="35"/>
      <c r="C11" s="35"/>
      <c r="D11" s="33"/>
      <c r="E11" s="33"/>
      <c r="F11" s="33"/>
      <c r="G11" s="33"/>
      <c r="H11" s="33"/>
      <c r="I11" s="33"/>
      <c r="J11" s="33"/>
    </row>
    <row r="12" spans="2:10" x14ac:dyDescent="0.2">
      <c r="B12" s="45" t="s">
        <v>221</v>
      </c>
      <c r="C12" s="55"/>
      <c r="D12" s="46">
        <f>-Financials!F22</f>
        <v>-809893.52454687306</v>
      </c>
      <c r="E12" s="46">
        <f>-Financials!G22</f>
        <v>-890882.87700156053</v>
      </c>
      <c r="F12" s="46">
        <f>-Financials!H22</f>
        <v>-979971.16470171651</v>
      </c>
      <c r="G12" s="46">
        <f>-Financials!I22</f>
        <v>-1077968.2811718883</v>
      </c>
      <c r="H12" s="46">
        <f>-Financials!J22</f>
        <v>-1185765.1092890773</v>
      </c>
      <c r="I12" s="46"/>
      <c r="J12" s="47">
        <f>SUM(D12:H12)</f>
        <v>-4944480.9567111153</v>
      </c>
    </row>
    <row r="13" spans="2:10" x14ac:dyDescent="0.2">
      <c r="B13" s="35"/>
      <c r="C13" s="35"/>
      <c r="D13" s="33"/>
      <c r="E13" s="33"/>
      <c r="F13" s="33"/>
      <c r="G13" s="33"/>
      <c r="H13" s="33"/>
      <c r="I13" s="33"/>
      <c r="J13" s="33"/>
    </row>
    <row r="14" spans="2:10" x14ac:dyDescent="0.2">
      <c r="B14" s="31" t="s">
        <v>225</v>
      </c>
      <c r="C14" s="54"/>
      <c r="D14" s="32">
        <f>'Costs and benefits'!$J$55</f>
        <v>-4229.0748898678412</v>
      </c>
      <c r="E14" s="32">
        <f>'Costs and benefits'!$J$55</f>
        <v>-4229.0748898678412</v>
      </c>
      <c r="F14" s="32">
        <f>'Costs and benefits'!$J$55</f>
        <v>-4229.0748898678412</v>
      </c>
      <c r="G14" s="32">
        <f>'Costs and benefits'!$J$55</f>
        <v>-4229.0748898678412</v>
      </c>
      <c r="H14" s="32">
        <f>'Costs and benefits'!$J$55</f>
        <v>-4229.0748898678412</v>
      </c>
      <c r="I14" s="32"/>
      <c r="J14" s="41">
        <f>SUM(D14:H14)</f>
        <v>-21145.374449339208</v>
      </c>
    </row>
    <row r="15" spans="2:10" x14ac:dyDescent="0.2">
      <c r="B15" s="37" t="s">
        <v>222</v>
      </c>
      <c r="C15" s="39"/>
      <c r="D15" s="44">
        <f>'Costs and benefits'!$J$58+D12</f>
        <v>-1541523.4804940096</v>
      </c>
      <c r="E15" s="44">
        <f>'Costs and benefits'!$J$58+E12</f>
        <v>-1622512.832948697</v>
      </c>
      <c r="F15" s="44">
        <f>'Costs and benefits'!$J$58+F12</f>
        <v>-1711601.120648853</v>
      </c>
      <c r="G15" s="44">
        <f>'Costs and benefits'!$J$58+G12</f>
        <v>-1809598.2371190249</v>
      </c>
      <c r="H15" s="44">
        <f>'Costs and benefits'!$J$58+H12</f>
        <v>-1917395.0652362138</v>
      </c>
      <c r="I15" s="44"/>
      <c r="J15" s="43">
        <f>SUM(D15:H15)</f>
        <v>-8602630.7364467978</v>
      </c>
    </row>
    <row r="16" spans="2:10" x14ac:dyDescent="0.2">
      <c r="B16" s="35"/>
      <c r="C16" s="35"/>
      <c r="D16" s="33"/>
      <c r="E16" s="33"/>
      <c r="F16" s="33"/>
      <c r="G16" s="33"/>
      <c r="H16" s="33"/>
      <c r="I16" s="33"/>
      <c r="J16" s="33"/>
    </row>
    <row r="17" spans="2:10" x14ac:dyDescent="0.2">
      <c r="B17" s="67" t="s">
        <v>224</v>
      </c>
      <c r="C17" s="123"/>
      <c r="D17" s="68">
        <f t="shared" ref="D17:H18" si="1">D9+D14</f>
        <v>1249.9905738401158</v>
      </c>
      <c r="E17" s="68">
        <f t="shared" si="1"/>
        <v>8811.6640799483648</v>
      </c>
      <c r="F17" s="68">
        <f t="shared" si="1"/>
        <v>30719.810774694219</v>
      </c>
      <c r="G17" s="68">
        <f t="shared" si="1"/>
        <v>37697.13851437431</v>
      </c>
      <c r="H17" s="68">
        <f t="shared" si="1"/>
        <v>41939.351498092248</v>
      </c>
      <c r="I17" s="68"/>
      <c r="J17" s="69">
        <f>SUM(D17:H17)</f>
        <v>120417.95544094926</v>
      </c>
    </row>
    <row r="18" spans="2:10" x14ac:dyDescent="0.2">
      <c r="B18" s="70" t="s">
        <v>223</v>
      </c>
      <c r="C18" s="124">
        <f>D5*C8</f>
        <v>1930178.6981270176</v>
      </c>
      <c r="D18" s="71">
        <f t="shared" si="1"/>
        <v>557714.61530601024</v>
      </c>
      <c r="E18" s="71">
        <f t="shared" si="1"/>
        <v>3373889.6054145126</v>
      </c>
      <c r="F18" s="71">
        <f t="shared" si="1"/>
        <v>11678644.474839509</v>
      </c>
      <c r="G18" s="71">
        <f t="shared" si="1"/>
        <v>14253926.642042343</v>
      </c>
      <c r="H18" s="71">
        <f t="shared" si="1"/>
        <v>15771482.744074561</v>
      </c>
      <c r="I18" s="71"/>
      <c r="J18" s="72">
        <f>SUM(D18:H18)</f>
        <v>45635658.08167693</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8AE87-D676-1441-A505-03DC092E1CEB}">
  <dimension ref="B1:X65"/>
  <sheetViews>
    <sheetView showGridLines="0" zoomScale="150" zoomScaleNormal="150" workbookViewId="0"/>
  </sheetViews>
  <sheetFormatPr baseColWidth="10" defaultColWidth="10.83203125" defaultRowHeight="14" x14ac:dyDescent="0.2"/>
  <cols>
    <col min="1" max="1" width="5" style="2" customWidth="1"/>
    <col min="2" max="2" width="48.5" style="2" customWidth="1"/>
    <col min="3" max="3" width="8.6640625" style="2" customWidth="1"/>
    <col min="4" max="4" width="10.1640625" style="2" customWidth="1"/>
    <col min="5" max="5" width="8.6640625" style="2" customWidth="1"/>
    <col min="6" max="6" width="14.1640625" style="2" customWidth="1"/>
    <col min="7" max="7" width="21.5" style="2" customWidth="1"/>
    <col min="8" max="8" width="14.5" style="2" customWidth="1"/>
    <col min="9" max="9" width="20.83203125" style="2" customWidth="1"/>
    <col min="10" max="10" width="20.6640625" style="4" customWidth="1"/>
    <col min="11" max="11" width="20" style="4" customWidth="1"/>
    <col min="12" max="12" width="10.83203125" style="2"/>
    <col min="13" max="13" width="11.83203125" style="2" customWidth="1"/>
    <col min="14" max="16384" width="10.83203125" style="2"/>
  </cols>
  <sheetData>
    <row r="1" spans="2:24" ht="30" customHeight="1" x14ac:dyDescent="0.2"/>
    <row r="2" spans="2:24" x14ac:dyDescent="0.2">
      <c r="B2" s="115" t="s">
        <v>79</v>
      </c>
      <c r="C2" s="112" t="s">
        <v>3</v>
      </c>
      <c r="D2" s="112" t="s">
        <v>120</v>
      </c>
      <c r="E2" s="112" t="s">
        <v>127</v>
      </c>
      <c r="F2" s="112" t="s">
        <v>128</v>
      </c>
      <c r="G2" s="112" t="s">
        <v>145</v>
      </c>
      <c r="H2" s="112" t="s">
        <v>139</v>
      </c>
      <c r="I2" s="113"/>
      <c r="J2" s="114" t="s">
        <v>81</v>
      </c>
      <c r="K2" s="116" t="s">
        <v>82</v>
      </c>
    </row>
    <row r="3" spans="2:24" x14ac:dyDescent="0.2">
      <c r="B3" s="253" t="s">
        <v>123</v>
      </c>
      <c r="C3" s="246">
        <f>Input!C4</f>
        <v>236436</v>
      </c>
      <c r="D3" s="251">
        <f>Input!C31</f>
        <v>3.1</v>
      </c>
      <c r="E3" s="251">
        <v>4</v>
      </c>
      <c r="F3" s="251">
        <v>6.73</v>
      </c>
      <c r="G3" s="246">
        <f>(C3*D3*E3*F3)/(60*Input!C20)</f>
        <v>45358.751889655177</v>
      </c>
      <c r="H3" s="86">
        <f>'Rekeying costs'!$D$5</f>
        <v>1.3469036406906678</v>
      </c>
      <c r="I3" s="161" t="s">
        <v>140</v>
      </c>
      <c r="J3" s="160">
        <f>$C$3*$D$3*$E$3*$F$3*H3</f>
        <v>26575832.604952149</v>
      </c>
      <c r="K3" s="164">
        <f>5*J3</f>
        <v>132879163.02476075</v>
      </c>
      <c r="L3" s="81"/>
      <c r="M3" s="81"/>
      <c r="N3" s="81"/>
      <c r="O3" s="81"/>
      <c r="P3" s="81"/>
      <c r="Q3" s="81"/>
      <c r="R3" s="81"/>
      <c r="S3" s="81"/>
      <c r="T3" s="81"/>
      <c r="U3" s="81"/>
      <c r="V3" s="81"/>
      <c r="W3" s="81"/>
      <c r="X3" s="81"/>
    </row>
    <row r="4" spans="2:24" x14ac:dyDescent="0.2">
      <c r="B4" s="254"/>
      <c r="C4" s="247"/>
      <c r="D4" s="252"/>
      <c r="E4" s="252"/>
      <c r="F4" s="252"/>
      <c r="G4" s="247"/>
      <c r="H4" s="86">
        <f>'Rekeying costs'!$E$5</f>
        <v>0.46787179097675829</v>
      </c>
      <c r="I4" s="161" t="s">
        <v>141</v>
      </c>
      <c r="J4" s="160">
        <f>$C$3*$D$3*$E$3*$F$3*H4</f>
        <v>9231605.0101412721</v>
      </c>
      <c r="K4" s="164">
        <f t="shared" ref="K4:K14" si="0">5*J4</f>
        <v>46158025.050706357</v>
      </c>
      <c r="L4" s="81"/>
      <c r="N4" s="81"/>
      <c r="O4" s="81"/>
      <c r="P4" s="81"/>
      <c r="Q4" s="81"/>
      <c r="R4" s="81"/>
      <c r="S4" s="81"/>
      <c r="T4" s="81"/>
      <c r="U4" s="81"/>
      <c r="V4" s="81"/>
      <c r="W4" s="81"/>
      <c r="X4" s="81"/>
    </row>
    <row r="5" spans="2:24" x14ac:dyDescent="0.2">
      <c r="B5" s="254"/>
      <c r="C5" s="247"/>
      <c r="D5" s="252"/>
      <c r="E5" s="252"/>
      <c r="F5" s="252"/>
      <c r="G5" s="247"/>
      <c r="H5" s="86">
        <f>'Rekeying costs'!$C$5</f>
        <v>0.56711732239607071</v>
      </c>
      <c r="I5" s="161" t="s">
        <v>5</v>
      </c>
      <c r="J5" s="160">
        <f>$C$3*$D$3*$E$3*$F$3*H5</f>
        <v>11189824.254716696</v>
      </c>
      <c r="K5" s="164">
        <f t="shared" si="0"/>
        <v>55949121.273583479</v>
      </c>
      <c r="L5" s="81"/>
      <c r="N5" s="81"/>
      <c r="O5" s="81"/>
      <c r="P5" s="81"/>
      <c r="Q5" s="81"/>
      <c r="R5" s="81"/>
      <c r="S5" s="81"/>
      <c r="T5" s="81"/>
      <c r="U5" s="81"/>
      <c r="V5" s="81"/>
      <c r="W5" s="81"/>
      <c r="X5" s="81"/>
    </row>
    <row r="6" spans="2:24" x14ac:dyDescent="0.2">
      <c r="B6" s="7"/>
      <c r="G6" s="175"/>
      <c r="I6" s="27" t="s">
        <v>142</v>
      </c>
      <c r="J6" s="87">
        <f>AVERAGE(J3:J5)</f>
        <v>15665753.956603372</v>
      </c>
      <c r="K6" s="25">
        <f t="shared" si="0"/>
        <v>78328769.78301686</v>
      </c>
      <c r="L6" s="81"/>
      <c r="N6" s="81"/>
      <c r="O6" s="81"/>
      <c r="P6" s="81"/>
      <c r="Q6" s="81"/>
      <c r="R6" s="81"/>
      <c r="S6" s="81"/>
      <c r="T6" s="81"/>
      <c r="U6" s="81"/>
      <c r="V6" s="81"/>
      <c r="W6" s="81"/>
      <c r="X6" s="81"/>
    </row>
    <row r="7" spans="2:24" x14ac:dyDescent="0.2">
      <c r="B7" s="255" t="s">
        <v>4</v>
      </c>
      <c r="C7" s="248">
        <f>Input!C3</f>
        <v>36000</v>
      </c>
      <c r="D7" s="256">
        <f>Input!C32</f>
        <v>3.25</v>
      </c>
      <c r="E7" s="155"/>
      <c r="F7" s="256">
        <v>10</v>
      </c>
      <c r="G7" s="248">
        <f>(C7*D7*F7)/(60*Input!C20)</f>
        <v>2689.655172413793</v>
      </c>
      <c r="H7" s="140">
        <f>'Rekeying costs'!$D$5</f>
        <v>1.3469036406906678</v>
      </c>
      <c r="I7" s="100" t="s">
        <v>140</v>
      </c>
      <c r="J7" s="103">
        <f>$C$7*$D$7*$F$7*H7</f>
        <v>1575877.2596080813</v>
      </c>
      <c r="K7" s="104">
        <f t="shared" si="0"/>
        <v>7879386.2980404068</v>
      </c>
      <c r="L7" s="81"/>
      <c r="N7" s="81"/>
      <c r="O7" s="81"/>
      <c r="P7" s="81"/>
      <c r="Q7" s="81"/>
      <c r="R7" s="81"/>
      <c r="S7" s="81"/>
      <c r="T7" s="81"/>
      <c r="U7" s="81"/>
      <c r="V7" s="81"/>
      <c r="W7" s="81"/>
      <c r="X7" s="81"/>
    </row>
    <row r="8" spans="2:24" x14ac:dyDescent="0.2">
      <c r="B8" s="255"/>
      <c r="C8" s="248"/>
      <c r="D8" s="256"/>
      <c r="E8" s="155"/>
      <c r="F8" s="256"/>
      <c r="G8" s="248"/>
      <c r="H8" s="140">
        <f>'Rekeying costs'!$E$5</f>
        <v>0.46787179097675829</v>
      </c>
      <c r="I8" s="100" t="s">
        <v>141</v>
      </c>
      <c r="J8" s="103">
        <f>$C$7*$D$7*$F$7*H8</f>
        <v>547409.99544280721</v>
      </c>
      <c r="K8" s="104">
        <f t="shared" si="0"/>
        <v>2737049.977214036</v>
      </c>
      <c r="L8" s="81"/>
      <c r="M8" s="81"/>
      <c r="N8" s="81"/>
      <c r="O8" s="81"/>
      <c r="P8" s="81"/>
      <c r="Q8" s="81"/>
      <c r="R8" s="81"/>
      <c r="S8" s="81"/>
      <c r="T8" s="81"/>
      <c r="U8" s="81"/>
      <c r="V8" s="81"/>
      <c r="W8" s="81"/>
      <c r="X8" s="81"/>
    </row>
    <row r="9" spans="2:24" x14ac:dyDescent="0.2">
      <c r="B9" s="255"/>
      <c r="C9" s="248"/>
      <c r="D9" s="256"/>
      <c r="E9" s="155"/>
      <c r="F9" s="256"/>
      <c r="G9" s="248"/>
      <c r="H9" s="140">
        <f>'Rekeying costs'!$C$5</f>
        <v>0.56711732239607071</v>
      </c>
      <c r="I9" s="100" t="s">
        <v>5</v>
      </c>
      <c r="J9" s="103">
        <f>$C$7*$D$7*$F$7*H9</f>
        <v>663527.26720340271</v>
      </c>
      <c r="K9" s="104">
        <f t="shared" si="0"/>
        <v>3317636.3360170135</v>
      </c>
      <c r="L9" s="81"/>
      <c r="M9" s="5"/>
      <c r="N9" s="85"/>
      <c r="O9" s="82"/>
      <c r="P9" s="83"/>
      <c r="Q9" s="84"/>
      <c r="R9" s="81"/>
      <c r="S9" s="81"/>
      <c r="T9" s="81"/>
      <c r="U9" s="81"/>
      <c r="V9" s="81"/>
      <c r="W9" s="81"/>
      <c r="X9" s="81"/>
    </row>
    <row r="10" spans="2:24" x14ac:dyDescent="0.2">
      <c r="B10" s="162"/>
      <c r="C10" s="141"/>
      <c r="D10" s="155"/>
      <c r="E10" s="155"/>
      <c r="F10" s="155"/>
      <c r="G10" s="176"/>
      <c r="H10" s="140"/>
      <c r="I10" s="141" t="s">
        <v>142</v>
      </c>
      <c r="J10" s="142">
        <f>AVERAGE(J7:J9)</f>
        <v>928938.17408476362</v>
      </c>
      <c r="K10" s="143">
        <f t="shared" si="0"/>
        <v>4644690.870423818</v>
      </c>
      <c r="L10" s="81"/>
      <c r="M10" s="5"/>
      <c r="N10" s="85"/>
      <c r="O10" s="82"/>
      <c r="P10" s="83"/>
      <c r="Q10" s="84"/>
      <c r="R10" s="81"/>
      <c r="S10" s="81"/>
      <c r="T10" s="81"/>
      <c r="U10" s="81"/>
      <c r="V10" s="81"/>
      <c r="W10" s="81"/>
      <c r="X10" s="81"/>
    </row>
    <row r="11" spans="2:24" x14ac:dyDescent="0.2">
      <c r="B11" s="254" t="s">
        <v>6</v>
      </c>
      <c r="C11" s="247">
        <f>Input!C5</f>
        <v>50000</v>
      </c>
      <c r="D11" s="252">
        <f>Input!C33</f>
        <v>6</v>
      </c>
      <c r="E11" s="154"/>
      <c r="F11" s="252">
        <v>10</v>
      </c>
      <c r="G11" s="247">
        <f>(C11*D11*F11)/(60*Input!C20)</f>
        <v>6896.5517241379312</v>
      </c>
      <c r="H11" s="86">
        <f>'Rekeying costs'!$D$5</f>
        <v>1.3469036406906678</v>
      </c>
      <c r="I11" s="161" t="s">
        <v>140</v>
      </c>
      <c r="J11" s="160">
        <f>$C$11*$D$11*$F$11*H11</f>
        <v>4040710.9220720036</v>
      </c>
      <c r="K11" s="26">
        <f t="shared" si="0"/>
        <v>20203554.610360019</v>
      </c>
      <c r="L11" s="81"/>
      <c r="M11" s="5"/>
      <c r="N11" s="85"/>
      <c r="O11" s="82"/>
      <c r="P11" s="83"/>
      <c r="Q11" s="84"/>
      <c r="R11" s="81"/>
      <c r="S11" s="81"/>
      <c r="T11" s="81"/>
      <c r="U11" s="81"/>
      <c r="V11" s="81"/>
      <c r="W11" s="81"/>
      <c r="X11" s="81"/>
    </row>
    <row r="12" spans="2:24" x14ac:dyDescent="0.2">
      <c r="B12" s="254"/>
      <c r="C12" s="247"/>
      <c r="D12" s="252"/>
      <c r="E12" s="154"/>
      <c r="F12" s="252"/>
      <c r="G12" s="247"/>
      <c r="H12" s="86">
        <f>'Rekeying costs'!$E$5</f>
        <v>0.46787179097675829</v>
      </c>
      <c r="I12" s="161" t="s">
        <v>141</v>
      </c>
      <c r="J12" s="160">
        <f>$C$11*$D$11*$F$11*H12</f>
        <v>1403615.3729302748</v>
      </c>
      <c r="K12" s="26">
        <f t="shared" si="0"/>
        <v>7018076.8646513745</v>
      </c>
      <c r="L12" s="81"/>
      <c r="M12" s="5"/>
      <c r="N12" s="5"/>
      <c r="O12" s="82"/>
      <c r="P12" s="83"/>
      <c r="Q12" s="84"/>
      <c r="R12" s="81"/>
      <c r="S12" s="81"/>
      <c r="T12" s="81"/>
      <c r="U12" s="81"/>
      <c r="V12" s="81"/>
      <c r="W12" s="81"/>
      <c r="X12" s="81"/>
    </row>
    <row r="13" spans="2:24" x14ac:dyDescent="0.2">
      <c r="B13" s="254"/>
      <c r="C13" s="247"/>
      <c r="D13" s="252"/>
      <c r="E13" s="27"/>
      <c r="F13" s="252"/>
      <c r="G13" s="247"/>
      <c r="H13" s="86">
        <f>'Rekeying costs'!$C$5</f>
        <v>0.56711732239607071</v>
      </c>
      <c r="I13" s="161" t="s">
        <v>5</v>
      </c>
      <c r="J13" s="160">
        <f>$C$11*$D$11*$F$11*H13</f>
        <v>1701351.9671882121</v>
      </c>
      <c r="K13" s="26">
        <f t="shared" si="0"/>
        <v>8506759.8359410614</v>
      </c>
      <c r="L13" s="81"/>
      <c r="M13" s="5"/>
      <c r="N13" s="5"/>
      <c r="O13" s="82"/>
      <c r="P13" s="83"/>
      <c r="Q13" s="84"/>
      <c r="R13" s="81"/>
      <c r="S13" s="81"/>
      <c r="T13" s="81"/>
      <c r="U13" s="81"/>
      <c r="V13" s="81"/>
      <c r="W13" s="81"/>
      <c r="X13" s="81"/>
    </row>
    <row r="14" spans="2:24" x14ac:dyDescent="0.2">
      <c r="B14" s="163"/>
      <c r="C14" s="27"/>
      <c r="D14" s="27"/>
      <c r="E14" s="27"/>
      <c r="F14" s="27"/>
      <c r="G14" s="177"/>
      <c r="H14" s="27"/>
      <c r="I14" s="27" t="s">
        <v>142</v>
      </c>
      <c r="J14" s="87">
        <f>AVERAGE(J11:J13)</f>
        <v>2381892.7540634968</v>
      </c>
      <c r="K14" s="25">
        <f t="shared" si="0"/>
        <v>11909463.770317484</v>
      </c>
      <c r="L14" s="81"/>
      <c r="M14" s="5"/>
      <c r="N14" s="5"/>
      <c r="O14" s="82"/>
      <c r="P14" s="83"/>
      <c r="Q14" s="84"/>
      <c r="R14" s="81"/>
      <c r="S14" s="81"/>
      <c r="T14" s="81"/>
      <c r="U14" s="81"/>
      <c r="V14" s="81"/>
      <c r="W14" s="81"/>
      <c r="X14" s="81"/>
    </row>
    <row r="15" spans="2:24" x14ac:dyDescent="0.2">
      <c r="B15" s="97" t="s">
        <v>83</v>
      </c>
      <c r="C15" s="98"/>
      <c r="D15" s="98"/>
      <c r="E15" s="98"/>
      <c r="F15" s="98"/>
      <c r="G15" s="178">
        <f>SUM(G3:G13)</f>
        <v>54944.958786206902</v>
      </c>
      <c r="H15" s="94"/>
      <c r="I15" s="94"/>
      <c r="J15" s="95">
        <f>J6+J10+J14</f>
        <v>18976584.884751633</v>
      </c>
      <c r="K15" s="96">
        <f>J15*5</f>
        <v>94882924.423758164</v>
      </c>
      <c r="L15" s="81"/>
      <c r="M15" s="5"/>
      <c r="N15" s="5"/>
      <c r="O15" s="82"/>
      <c r="P15" s="83"/>
      <c r="Q15" s="84"/>
      <c r="R15" s="81"/>
      <c r="S15" s="81"/>
      <c r="T15" s="81"/>
      <c r="U15" s="81"/>
      <c r="V15" s="81"/>
      <c r="W15" s="81"/>
      <c r="X15" s="81"/>
    </row>
    <row r="16" spans="2:24" x14ac:dyDescent="0.2">
      <c r="B16" s="3"/>
      <c r="C16" s="3"/>
      <c r="D16" s="3"/>
      <c r="E16" s="3"/>
      <c r="F16" s="3"/>
      <c r="G16" s="3"/>
      <c r="H16" s="3"/>
      <c r="I16" s="3"/>
      <c r="J16" s="1"/>
      <c r="K16" s="1"/>
      <c r="L16" s="81"/>
      <c r="M16" s="5"/>
      <c r="N16" s="5"/>
      <c r="O16" s="82"/>
      <c r="P16" s="83"/>
      <c r="Q16" s="84"/>
      <c r="R16" s="81"/>
      <c r="S16" s="81"/>
      <c r="T16" s="81"/>
      <c r="U16" s="81"/>
      <c r="V16" s="81"/>
      <c r="W16" s="81"/>
      <c r="X16" s="81"/>
    </row>
    <row r="17" spans="2:24" x14ac:dyDescent="0.2">
      <c r="B17" s="110" t="s">
        <v>80</v>
      </c>
      <c r="C17" s="117"/>
      <c r="D17" s="117"/>
      <c r="E17" s="117"/>
      <c r="F17" s="117"/>
      <c r="G17" s="117"/>
      <c r="H17" s="118" t="s">
        <v>7</v>
      </c>
      <c r="I17" s="119" t="s">
        <v>8</v>
      </c>
      <c r="J17" s="120" t="s">
        <v>81</v>
      </c>
      <c r="K17" s="121" t="s">
        <v>82</v>
      </c>
      <c r="L17" s="81"/>
      <c r="M17" s="5"/>
      <c r="N17" s="5"/>
      <c r="O17" s="82"/>
      <c r="P17" s="83"/>
      <c r="Q17" s="84"/>
      <c r="R17" s="81"/>
      <c r="S17" s="81"/>
      <c r="T17" s="81"/>
      <c r="U17" s="81"/>
      <c r="V17" s="81"/>
      <c r="W17" s="81"/>
      <c r="X17" s="81"/>
    </row>
    <row r="18" spans="2:24" x14ac:dyDescent="0.2">
      <c r="B18" s="7" t="s">
        <v>109</v>
      </c>
      <c r="C18" s="27"/>
      <c r="D18" s="27"/>
      <c r="E18" s="27"/>
      <c r="F18" s="27"/>
      <c r="G18" s="27"/>
      <c r="H18" s="27">
        <f>Input!C13</f>
        <v>25</v>
      </c>
      <c r="I18" s="12">
        <f>Input!D13</f>
        <v>95000</v>
      </c>
      <c r="J18" s="12">
        <f>H18*I18</f>
        <v>2375000</v>
      </c>
      <c r="K18" s="26">
        <f>J18*$I$49</f>
        <v>11875000</v>
      </c>
      <c r="L18" s="81"/>
      <c r="M18" s="5"/>
      <c r="N18" s="5"/>
      <c r="O18" s="82"/>
      <c r="P18" s="83"/>
      <c r="Q18" s="84"/>
      <c r="R18" s="81"/>
      <c r="S18" s="81"/>
      <c r="T18" s="81"/>
      <c r="U18" s="81"/>
      <c r="V18" s="81"/>
      <c r="W18" s="81"/>
      <c r="X18" s="81"/>
    </row>
    <row r="19" spans="2:24" x14ac:dyDescent="0.2">
      <c r="B19" s="144" t="s">
        <v>89</v>
      </c>
      <c r="C19" s="141"/>
      <c r="D19" s="141"/>
      <c r="E19" s="141"/>
      <c r="F19" s="141"/>
      <c r="G19" s="141"/>
      <c r="H19" s="141">
        <f>Input!C14</f>
        <v>25</v>
      </c>
      <c r="I19" s="103">
        <f>Input!D14</f>
        <v>15000</v>
      </c>
      <c r="J19" s="103">
        <f>H19*I19</f>
        <v>375000</v>
      </c>
      <c r="K19" s="104">
        <f>J19*$I$49</f>
        <v>1875000</v>
      </c>
      <c r="L19" s="81"/>
      <c r="M19" s="5"/>
      <c r="N19" s="5"/>
      <c r="O19" s="82"/>
      <c r="P19" s="83"/>
      <c r="Q19" s="84"/>
      <c r="R19" s="81"/>
      <c r="S19" s="81"/>
      <c r="T19" s="81"/>
      <c r="U19" s="81"/>
      <c r="V19" s="81"/>
      <c r="W19" s="81"/>
      <c r="X19" s="81"/>
    </row>
    <row r="20" spans="2:24" x14ac:dyDescent="0.2">
      <c r="B20" s="7" t="s">
        <v>90</v>
      </c>
      <c r="C20" s="27"/>
      <c r="D20" s="27"/>
      <c r="E20" s="27"/>
      <c r="F20" s="27"/>
      <c r="G20" s="27"/>
      <c r="H20" s="27">
        <f>Input!C15</f>
        <v>25</v>
      </c>
      <c r="I20" s="12">
        <f>Input!D15</f>
        <v>33000</v>
      </c>
      <c r="J20" s="12">
        <f>H20*I20</f>
        <v>825000</v>
      </c>
      <c r="K20" s="26">
        <f>J20*$I$49</f>
        <v>4125000</v>
      </c>
      <c r="L20" s="81"/>
      <c r="M20" s="5"/>
      <c r="N20" s="5"/>
      <c r="O20" s="82"/>
      <c r="P20" s="83"/>
      <c r="Q20" s="84"/>
      <c r="R20" s="81"/>
      <c r="S20" s="81"/>
      <c r="T20" s="81"/>
      <c r="U20" s="81"/>
      <c r="V20" s="81"/>
      <c r="W20" s="81"/>
      <c r="X20" s="81"/>
    </row>
    <row r="21" spans="2:24" x14ac:dyDescent="0.2">
      <c r="B21" s="7" t="s">
        <v>9</v>
      </c>
      <c r="C21" s="27"/>
      <c r="D21" s="27"/>
      <c r="E21" s="27"/>
      <c r="F21" s="27"/>
      <c r="G21" s="27"/>
      <c r="H21" s="27"/>
      <c r="I21" s="12"/>
      <c r="J21" s="12">
        <v>1850000</v>
      </c>
      <c r="K21" s="26">
        <f>J21*$I$49</f>
        <v>9250000</v>
      </c>
      <c r="L21" s="81"/>
      <c r="M21" s="5"/>
      <c r="N21" s="5"/>
      <c r="O21" s="82"/>
      <c r="P21" s="83"/>
      <c r="Q21" s="84"/>
      <c r="R21" s="81"/>
      <c r="S21" s="81"/>
      <c r="T21" s="81"/>
      <c r="U21" s="81"/>
      <c r="V21" s="81"/>
      <c r="W21" s="81"/>
      <c r="X21" s="81"/>
    </row>
    <row r="22" spans="2:24" x14ac:dyDescent="0.2">
      <c r="B22" s="88" t="s">
        <v>10</v>
      </c>
      <c r="C22" s="89"/>
      <c r="D22" s="89"/>
      <c r="E22" s="89"/>
      <c r="F22" s="89"/>
      <c r="G22" s="89"/>
      <c r="H22" s="90" t="s">
        <v>11</v>
      </c>
      <c r="I22" s="91" t="s">
        <v>36</v>
      </c>
      <c r="J22" s="92" t="s">
        <v>12</v>
      </c>
      <c r="K22" s="26"/>
      <c r="L22" s="81"/>
      <c r="M22" s="5"/>
      <c r="N22" s="5"/>
      <c r="O22" s="82"/>
      <c r="P22" s="83"/>
      <c r="Q22" s="84"/>
      <c r="R22" s="81"/>
      <c r="S22" s="81"/>
      <c r="T22" s="81"/>
      <c r="U22" s="81"/>
      <c r="V22" s="81"/>
      <c r="W22" s="81"/>
      <c r="X22" s="81"/>
    </row>
    <row r="23" spans="2:24" x14ac:dyDescent="0.2">
      <c r="B23" s="250" t="s">
        <v>84</v>
      </c>
      <c r="C23" s="100" t="s">
        <v>85</v>
      </c>
      <c r="D23" s="100"/>
      <c r="E23" s="100"/>
      <c r="F23" s="100"/>
      <c r="G23" s="100"/>
      <c r="H23" s="101" t="s">
        <v>13</v>
      </c>
      <c r="I23" s="102">
        <v>7.0000000000000007E-2</v>
      </c>
      <c r="J23" s="103">
        <f>I23*J18</f>
        <v>166250.00000000003</v>
      </c>
      <c r="K23" s="104">
        <f t="shared" ref="K23:K33" si="1">J23*$I$49</f>
        <v>831250.00000000012</v>
      </c>
      <c r="L23" s="81"/>
      <c r="M23" s="5"/>
      <c r="N23" s="5"/>
      <c r="O23" s="82"/>
      <c r="P23" s="83"/>
      <c r="Q23" s="84"/>
      <c r="R23" s="81"/>
      <c r="S23" s="81"/>
      <c r="T23" s="81"/>
      <c r="U23" s="81"/>
      <c r="V23" s="81"/>
      <c r="W23" s="81"/>
      <c r="X23" s="81"/>
    </row>
    <row r="24" spans="2:24" x14ac:dyDescent="0.2">
      <c r="B24" s="250"/>
      <c r="C24" s="100"/>
      <c r="D24" s="100"/>
      <c r="E24" s="100"/>
      <c r="F24" s="100"/>
      <c r="G24" s="100"/>
      <c r="H24" s="101" t="s">
        <v>86</v>
      </c>
      <c r="I24" s="102">
        <v>0.01</v>
      </c>
      <c r="J24" s="103">
        <f>I24*J20</f>
        <v>8250</v>
      </c>
      <c r="K24" s="104">
        <f t="shared" si="1"/>
        <v>41250</v>
      </c>
      <c r="L24" s="81"/>
      <c r="M24" s="5"/>
      <c r="N24" s="5"/>
      <c r="O24" s="82"/>
      <c r="P24" s="83"/>
      <c r="Q24" s="84"/>
      <c r="R24" s="81"/>
      <c r="S24" s="81"/>
      <c r="T24" s="81"/>
      <c r="U24" s="81"/>
      <c r="V24" s="81"/>
      <c r="W24" s="81"/>
      <c r="X24" s="81"/>
    </row>
    <row r="25" spans="2:24" x14ac:dyDescent="0.2">
      <c r="B25" s="250"/>
      <c r="C25" s="100" t="s">
        <v>85</v>
      </c>
      <c r="D25" s="100"/>
      <c r="E25" s="100"/>
      <c r="F25" s="100"/>
      <c r="G25" s="100"/>
      <c r="H25" s="101" t="s">
        <v>14</v>
      </c>
      <c r="I25" s="102">
        <v>0.2</v>
      </c>
      <c r="J25" s="103">
        <f>I25*J21</f>
        <v>370000</v>
      </c>
      <c r="K25" s="104">
        <f t="shared" si="1"/>
        <v>1850000</v>
      </c>
      <c r="L25" s="81"/>
      <c r="M25" s="5"/>
      <c r="N25" s="5"/>
      <c r="O25" s="82"/>
      <c r="P25" s="83"/>
      <c r="Q25" s="84"/>
      <c r="R25" s="81"/>
      <c r="S25" s="81"/>
      <c r="T25" s="81"/>
      <c r="U25" s="81"/>
      <c r="V25" s="81"/>
      <c r="W25" s="81"/>
      <c r="X25" s="81"/>
    </row>
    <row r="26" spans="2:24" x14ac:dyDescent="0.2">
      <c r="B26" s="249" t="s">
        <v>87</v>
      </c>
      <c r="C26" s="2" t="s">
        <v>85</v>
      </c>
      <c r="H26" s="82" t="s">
        <v>13</v>
      </c>
      <c r="I26" s="83">
        <v>0.04</v>
      </c>
      <c r="J26" s="12">
        <f>I26*J18</f>
        <v>95000</v>
      </c>
      <c r="K26" s="26">
        <f t="shared" si="1"/>
        <v>475000</v>
      </c>
      <c r="L26" s="81"/>
      <c r="M26" s="5"/>
      <c r="N26" s="5"/>
      <c r="O26" s="82"/>
      <c r="P26" s="83"/>
      <c r="Q26" s="84"/>
      <c r="R26" s="81"/>
      <c r="S26" s="81"/>
      <c r="T26" s="81"/>
      <c r="U26" s="81"/>
      <c r="V26" s="81"/>
      <c r="W26" s="81"/>
      <c r="X26" s="81"/>
    </row>
    <row r="27" spans="2:24" x14ac:dyDescent="0.2">
      <c r="B27" s="249"/>
      <c r="H27" s="82" t="s">
        <v>88</v>
      </c>
      <c r="I27" s="83">
        <v>0.01</v>
      </c>
      <c r="J27" s="12">
        <f>I27*J19</f>
        <v>3750</v>
      </c>
      <c r="K27" s="26">
        <f t="shared" si="1"/>
        <v>18750</v>
      </c>
      <c r="L27" s="81"/>
      <c r="M27" s="5"/>
      <c r="N27" s="5"/>
      <c r="O27" s="5"/>
      <c r="P27" s="5"/>
      <c r="Q27" s="84"/>
      <c r="R27" s="81"/>
      <c r="S27" s="81"/>
      <c r="T27" s="81"/>
      <c r="U27" s="81"/>
      <c r="V27" s="81"/>
      <c r="W27" s="81"/>
      <c r="X27" s="81"/>
    </row>
    <row r="28" spans="2:24" x14ac:dyDescent="0.2">
      <c r="B28" s="249"/>
      <c r="H28" s="82" t="s">
        <v>86</v>
      </c>
      <c r="I28" s="83">
        <v>0.02</v>
      </c>
      <c r="J28" s="12">
        <f>I28*J20</f>
        <v>16500</v>
      </c>
      <c r="K28" s="26">
        <f t="shared" si="1"/>
        <v>82500</v>
      </c>
      <c r="L28" s="81"/>
      <c r="M28" s="5"/>
      <c r="N28" s="5"/>
      <c r="O28" s="5"/>
      <c r="P28" s="5"/>
      <c r="Q28" s="84"/>
      <c r="R28" s="81"/>
      <c r="S28" s="81"/>
      <c r="T28" s="81"/>
      <c r="U28" s="81"/>
      <c r="V28" s="81"/>
      <c r="W28" s="81"/>
      <c r="X28" s="81"/>
    </row>
    <row r="29" spans="2:24" x14ac:dyDescent="0.2">
      <c r="B29" s="249"/>
      <c r="C29" s="2" t="s">
        <v>85</v>
      </c>
      <c r="H29" s="82" t="s">
        <v>14</v>
      </c>
      <c r="I29" s="83">
        <v>0.09</v>
      </c>
      <c r="J29" s="12">
        <f>I29*J21</f>
        <v>166500</v>
      </c>
      <c r="K29" s="26">
        <f t="shared" si="1"/>
        <v>832500</v>
      </c>
      <c r="L29" s="81"/>
      <c r="M29" s="5"/>
      <c r="N29" s="5"/>
      <c r="O29" s="5"/>
      <c r="P29" s="5"/>
      <c r="Q29" s="84"/>
      <c r="R29" s="81"/>
      <c r="S29" s="81"/>
      <c r="T29" s="81"/>
      <c r="U29" s="81"/>
      <c r="V29" s="81"/>
      <c r="W29" s="81"/>
      <c r="X29" s="81"/>
    </row>
    <row r="30" spans="2:24" x14ac:dyDescent="0.2">
      <c r="B30" s="250" t="s">
        <v>110</v>
      </c>
      <c r="C30" s="105"/>
      <c r="D30" s="105"/>
      <c r="E30" s="105"/>
      <c r="F30" s="105"/>
      <c r="G30" s="105"/>
      <c r="H30" s="101" t="s">
        <v>88</v>
      </c>
      <c r="I30" s="102">
        <v>7.0000000000000007E-2</v>
      </c>
      <c r="J30" s="103">
        <f>I30*J19</f>
        <v>26250.000000000004</v>
      </c>
      <c r="K30" s="104">
        <f t="shared" si="1"/>
        <v>131250.00000000003</v>
      </c>
      <c r="L30" s="81"/>
      <c r="Q30" s="81"/>
      <c r="R30" s="81"/>
      <c r="S30" s="81"/>
      <c r="T30" s="81"/>
      <c r="U30" s="81"/>
      <c r="V30" s="81"/>
      <c r="W30" s="81"/>
      <c r="X30" s="81"/>
    </row>
    <row r="31" spans="2:24" x14ac:dyDescent="0.2">
      <c r="B31" s="250"/>
      <c r="C31" s="105"/>
      <c r="D31" s="105"/>
      <c r="E31" s="105"/>
      <c r="F31" s="105"/>
      <c r="G31" s="105"/>
      <c r="H31" s="101" t="s">
        <v>86</v>
      </c>
      <c r="I31" s="102">
        <v>0.03</v>
      </c>
      <c r="J31" s="103">
        <f>I31*J20</f>
        <v>24750</v>
      </c>
      <c r="K31" s="104">
        <f t="shared" si="1"/>
        <v>123750</v>
      </c>
      <c r="L31" s="81"/>
      <c r="Q31" s="81"/>
      <c r="R31" s="81"/>
      <c r="S31" s="81"/>
      <c r="T31" s="81"/>
      <c r="U31" s="81"/>
      <c r="V31" s="81"/>
      <c r="W31" s="81"/>
      <c r="X31" s="81"/>
    </row>
    <row r="32" spans="2:24" x14ac:dyDescent="0.2">
      <c r="B32" s="249" t="s">
        <v>15</v>
      </c>
      <c r="C32" s="2" t="s">
        <v>85</v>
      </c>
      <c r="H32" s="82" t="s">
        <v>88</v>
      </c>
      <c r="I32" s="83">
        <v>0.02</v>
      </c>
      <c r="J32" s="12">
        <f>I32*J19</f>
        <v>7500</v>
      </c>
      <c r="K32" s="26">
        <f t="shared" si="1"/>
        <v>37500</v>
      </c>
      <c r="L32" s="81"/>
      <c r="Q32" s="81"/>
      <c r="R32" s="81"/>
      <c r="S32" s="81"/>
      <c r="T32" s="81"/>
      <c r="U32" s="81"/>
      <c r="V32" s="81"/>
      <c r="W32" s="81"/>
      <c r="X32" s="81"/>
    </row>
    <row r="33" spans="2:24" x14ac:dyDescent="0.2">
      <c r="B33" s="249"/>
      <c r="H33" s="82" t="s">
        <v>86</v>
      </c>
      <c r="I33" s="83">
        <v>5.0000000000000001E-3</v>
      </c>
      <c r="J33" s="12">
        <f>I33*J20</f>
        <v>4125</v>
      </c>
      <c r="K33" s="26">
        <f t="shared" si="1"/>
        <v>20625</v>
      </c>
      <c r="L33" s="81"/>
      <c r="Q33" s="81"/>
      <c r="R33" s="81"/>
      <c r="S33" s="81"/>
      <c r="T33" s="81"/>
      <c r="U33" s="81"/>
      <c r="V33" s="81"/>
      <c r="W33" s="81"/>
      <c r="X33" s="81"/>
    </row>
    <row r="34" spans="2:24" x14ac:dyDescent="0.2">
      <c r="B34" s="249"/>
      <c r="C34" s="2" t="s">
        <v>85</v>
      </c>
      <c r="H34" s="82" t="s">
        <v>14</v>
      </c>
      <c r="I34" s="83">
        <v>0.08</v>
      </c>
      <c r="J34" s="12">
        <f>I34*J21</f>
        <v>148000</v>
      </c>
      <c r="K34" s="26">
        <f t="shared" ref="K34:K39" si="2">J34*$I$49</f>
        <v>740000</v>
      </c>
      <c r="L34" s="81"/>
      <c r="Q34" s="81"/>
      <c r="R34" s="81"/>
      <c r="S34" s="81"/>
      <c r="T34" s="81"/>
      <c r="U34" s="81"/>
      <c r="V34" s="81"/>
      <c r="W34" s="81"/>
      <c r="X34" s="81"/>
    </row>
    <row r="35" spans="2:24" x14ac:dyDescent="0.2">
      <c r="B35" s="106" t="s">
        <v>16</v>
      </c>
      <c r="C35" s="105"/>
      <c r="D35" s="105"/>
      <c r="E35" s="105"/>
      <c r="F35" s="105"/>
      <c r="G35" s="105"/>
      <c r="H35" s="101" t="s">
        <v>14</v>
      </c>
      <c r="I35" s="102">
        <v>7.0000000000000007E-2</v>
      </c>
      <c r="J35" s="103">
        <f>I35*J21</f>
        <v>129500.00000000001</v>
      </c>
      <c r="K35" s="104">
        <f t="shared" si="2"/>
        <v>647500.00000000012</v>
      </c>
      <c r="L35" s="81"/>
      <c r="Q35" s="81"/>
      <c r="R35" s="81"/>
      <c r="S35" s="81"/>
      <c r="T35" s="81"/>
      <c r="U35" s="81"/>
      <c r="V35" s="81"/>
      <c r="W35" s="81"/>
      <c r="X35" s="81"/>
    </row>
    <row r="36" spans="2:24" x14ac:dyDescent="0.2">
      <c r="B36" s="99" t="s">
        <v>17</v>
      </c>
      <c r="H36" s="82" t="s">
        <v>14</v>
      </c>
      <c r="I36" s="83">
        <v>0.04</v>
      </c>
      <c r="J36" s="12">
        <f>I36*J21</f>
        <v>74000</v>
      </c>
      <c r="K36" s="26">
        <f t="shared" si="2"/>
        <v>370000</v>
      </c>
      <c r="L36" s="81"/>
      <c r="Q36" s="81"/>
      <c r="R36" s="81"/>
      <c r="S36" s="81"/>
      <c r="T36" s="81"/>
      <c r="U36" s="81"/>
      <c r="V36" s="81"/>
      <c r="W36" s="81"/>
      <c r="X36" s="81"/>
    </row>
    <row r="37" spans="2:24" x14ac:dyDescent="0.2">
      <c r="B37" s="250" t="s">
        <v>111</v>
      </c>
      <c r="C37" s="105" t="s">
        <v>85</v>
      </c>
      <c r="D37" s="105"/>
      <c r="E37" s="105"/>
      <c r="F37" s="105"/>
      <c r="G37" s="105"/>
      <c r="H37" s="101" t="s">
        <v>13</v>
      </c>
      <c r="I37" s="102">
        <v>0.06</v>
      </c>
      <c r="J37" s="103">
        <f>I37*J18</f>
        <v>142500</v>
      </c>
      <c r="K37" s="104">
        <f t="shared" si="2"/>
        <v>712500</v>
      </c>
      <c r="L37" s="81"/>
      <c r="Q37" s="81"/>
      <c r="R37" s="81"/>
      <c r="S37" s="81"/>
      <c r="T37" s="81"/>
      <c r="U37" s="81"/>
      <c r="V37" s="81"/>
      <c r="W37" s="81"/>
      <c r="X37" s="81"/>
    </row>
    <row r="38" spans="2:24" x14ac:dyDescent="0.2">
      <c r="B38" s="250"/>
      <c r="C38" s="105"/>
      <c r="D38" s="105"/>
      <c r="E38" s="105"/>
      <c r="F38" s="105"/>
      <c r="G38" s="105"/>
      <c r="H38" s="101" t="s">
        <v>88</v>
      </c>
      <c r="I38" s="102">
        <v>0.02</v>
      </c>
      <c r="J38" s="103">
        <f>I38*J19</f>
        <v>7500</v>
      </c>
      <c r="K38" s="104">
        <f t="shared" si="2"/>
        <v>37500</v>
      </c>
      <c r="L38" s="81"/>
      <c r="Q38" s="81"/>
      <c r="R38" s="81"/>
      <c r="S38" s="81"/>
      <c r="T38" s="81"/>
      <c r="U38" s="81"/>
      <c r="V38" s="81"/>
      <c r="W38" s="81"/>
      <c r="X38" s="81"/>
    </row>
    <row r="39" spans="2:24" x14ac:dyDescent="0.2">
      <c r="B39" s="250"/>
      <c r="C39" s="105" t="s">
        <v>85</v>
      </c>
      <c r="D39" s="105"/>
      <c r="E39" s="105"/>
      <c r="F39" s="105"/>
      <c r="G39" s="105"/>
      <c r="H39" s="101" t="s">
        <v>86</v>
      </c>
      <c r="I39" s="102">
        <v>0.03</v>
      </c>
      <c r="J39" s="103">
        <f>I39*J20</f>
        <v>24750</v>
      </c>
      <c r="K39" s="104">
        <f t="shared" si="2"/>
        <v>123750</v>
      </c>
      <c r="L39" s="81"/>
      <c r="M39" s="81"/>
      <c r="N39" s="81"/>
      <c r="O39" s="81"/>
      <c r="P39" s="81"/>
      <c r="Q39" s="81"/>
      <c r="R39" s="81"/>
      <c r="S39" s="81"/>
      <c r="T39" s="81"/>
      <c r="U39" s="81"/>
      <c r="V39" s="81"/>
      <c r="W39" s="81"/>
      <c r="X39" s="81"/>
    </row>
    <row r="40" spans="2:24" ht="14" customHeight="1" x14ac:dyDescent="0.2">
      <c r="B40" s="122" t="s">
        <v>83</v>
      </c>
      <c r="C40" s="27"/>
      <c r="D40" s="27"/>
      <c r="E40" s="27"/>
      <c r="F40" s="27"/>
      <c r="G40" s="27"/>
      <c r="H40" s="5"/>
      <c r="I40" s="27"/>
      <c r="J40" s="87">
        <f>SUM(J23:J39)</f>
        <v>1415125</v>
      </c>
      <c r="K40" s="25">
        <f>J40*$I$49</f>
        <v>7075625</v>
      </c>
      <c r="L40" s="81"/>
      <c r="M40" s="81"/>
      <c r="N40" s="81"/>
      <c r="O40" s="81"/>
      <c r="P40" s="81"/>
      <c r="Q40" s="81"/>
      <c r="R40" s="81"/>
      <c r="S40" s="81"/>
      <c r="T40" s="81"/>
      <c r="U40" s="81"/>
      <c r="V40" s="81"/>
      <c r="W40" s="81"/>
      <c r="X40" s="81"/>
    </row>
    <row r="41" spans="2:24" x14ac:dyDescent="0.2">
      <c r="B41" s="28" t="s">
        <v>18</v>
      </c>
      <c r="C41" s="27"/>
      <c r="D41" s="27"/>
      <c r="E41" s="27"/>
      <c r="F41" s="27"/>
      <c r="G41" s="27"/>
      <c r="H41" s="5"/>
      <c r="I41" s="27"/>
      <c r="J41" s="12">
        <f>J40*2%</f>
        <v>28302.5</v>
      </c>
      <c r="K41" s="26">
        <f>J41*$I$49</f>
        <v>141512.5</v>
      </c>
      <c r="L41" s="81"/>
      <c r="M41" s="81"/>
      <c r="N41" s="81"/>
      <c r="O41" s="81"/>
      <c r="P41" s="81"/>
      <c r="Q41" s="81"/>
      <c r="R41" s="81"/>
      <c r="S41" s="81"/>
      <c r="T41" s="81"/>
      <c r="U41" s="81"/>
      <c r="V41" s="81"/>
      <c r="W41" s="81"/>
      <c r="X41" s="81"/>
    </row>
    <row r="42" spans="2:24" x14ac:dyDescent="0.2">
      <c r="B42" s="28" t="s">
        <v>19</v>
      </c>
      <c r="C42" s="27"/>
      <c r="D42" s="27"/>
      <c r="E42" s="27"/>
      <c r="F42" s="27"/>
      <c r="G42" s="27"/>
      <c r="H42" s="5"/>
      <c r="I42" s="27"/>
      <c r="J42" s="12">
        <f>J40*5%</f>
        <v>70756.25</v>
      </c>
      <c r="K42" s="26">
        <f>J42*$I$49</f>
        <v>353781.25</v>
      </c>
      <c r="L42" s="81"/>
      <c r="M42" s="81"/>
      <c r="N42" s="81"/>
      <c r="O42" s="81"/>
      <c r="P42" s="81"/>
      <c r="Q42" s="81"/>
      <c r="R42" s="81"/>
      <c r="S42" s="81"/>
      <c r="T42" s="81"/>
      <c r="U42" s="81"/>
      <c r="V42" s="81"/>
      <c r="W42" s="81"/>
      <c r="X42" s="81"/>
    </row>
    <row r="43" spans="2:24" x14ac:dyDescent="0.2">
      <c r="B43" s="93" t="s">
        <v>20</v>
      </c>
      <c r="C43" s="94"/>
      <c r="D43" s="94"/>
      <c r="E43" s="94"/>
      <c r="F43" s="94"/>
      <c r="G43" s="94"/>
      <c r="H43" s="94"/>
      <c r="I43" s="94"/>
      <c r="J43" s="95">
        <f>AVERAGE(J41:J42)</f>
        <v>49529.375</v>
      </c>
      <c r="K43" s="96">
        <f>J43*$I$49</f>
        <v>247646.875</v>
      </c>
      <c r="L43" s="81"/>
      <c r="M43" s="81"/>
      <c r="N43" s="81"/>
      <c r="O43" s="81"/>
      <c r="P43" s="81"/>
      <c r="Q43" s="81"/>
      <c r="R43" s="81"/>
      <c r="S43" s="81"/>
      <c r="T43" s="81"/>
      <c r="U43" s="81"/>
      <c r="V43" s="81"/>
      <c r="W43" s="81"/>
      <c r="X43" s="81"/>
    </row>
    <row r="44" spans="2:24" x14ac:dyDescent="0.2">
      <c r="K44" s="2"/>
      <c r="L44" s="81"/>
      <c r="M44" s="81"/>
      <c r="N44" s="81"/>
      <c r="O44" s="81"/>
      <c r="P44" s="81"/>
      <c r="Q44" s="81"/>
      <c r="R44" s="81"/>
      <c r="S44" s="81"/>
      <c r="T44" s="81"/>
      <c r="U44" s="81"/>
      <c r="V44" s="81"/>
      <c r="W44" s="81"/>
      <c r="X44" s="81"/>
    </row>
    <row r="45" spans="2:24" x14ac:dyDescent="0.2">
      <c r="B45" s="110" t="s">
        <v>66</v>
      </c>
      <c r="C45" s="107"/>
      <c r="D45" s="107"/>
      <c r="E45" s="107"/>
      <c r="F45" s="107"/>
      <c r="G45" s="107"/>
      <c r="H45" s="108" t="s">
        <v>24</v>
      </c>
      <c r="I45" s="108" t="s">
        <v>22</v>
      </c>
      <c r="J45" s="109" t="s">
        <v>77</v>
      </c>
      <c r="K45" s="111" t="s">
        <v>78</v>
      </c>
      <c r="L45" s="81"/>
      <c r="M45" s="81"/>
      <c r="N45" s="81"/>
      <c r="O45" s="81"/>
      <c r="P45" s="81"/>
      <c r="Q45" s="81"/>
      <c r="R45" s="81"/>
      <c r="S45" s="81"/>
      <c r="T45" s="81"/>
      <c r="U45" s="81"/>
      <c r="V45" s="81"/>
      <c r="W45" s="81"/>
      <c r="X45" s="81"/>
    </row>
    <row r="46" spans="2:24" x14ac:dyDescent="0.2">
      <c r="B46" s="8" t="s">
        <v>67</v>
      </c>
      <c r="C46" s="6"/>
      <c r="D46" s="6"/>
      <c r="E46" s="6"/>
      <c r="F46" s="6"/>
      <c r="G46" s="6"/>
      <c r="H46" s="5"/>
      <c r="I46" s="5"/>
      <c r="J46" s="5"/>
      <c r="K46" s="9"/>
      <c r="L46" s="81"/>
      <c r="M46" s="81"/>
      <c r="N46" s="81"/>
      <c r="O46" s="81"/>
      <c r="P46" s="81"/>
      <c r="Q46" s="81"/>
      <c r="R46" s="81"/>
      <c r="S46" s="81"/>
      <c r="T46" s="81"/>
      <c r="U46" s="81"/>
      <c r="V46" s="81"/>
      <c r="W46" s="81"/>
      <c r="X46" s="81"/>
    </row>
    <row r="47" spans="2:24" x14ac:dyDescent="0.2">
      <c r="B47" s="7" t="s">
        <v>21</v>
      </c>
      <c r="C47" s="5"/>
      <c r="D47" s="5"/>
      <c r="E47" s="5"/>
      <c r="F47" s="5"/>
      <c r="G47" s="5"/>
      <c r="H47" s="11">
        <f>-Input!D16/Input!C19</f>
        <v>-264.31718061674007</v>
      </c>
      <c r="I47" s="5">
        <f>Input!C38</f>
        <v>40</v>
      </c>
      <c r="J47" s="145">
        <f>H47*I47</f>
        <v>-10572.687224669604</v>
      </c>
      <c r="K47" s="146"/>
      <c r="L47" s="81"/>
      <c r="M47" s="81"/>
      <c r="N47" s="81"/>
      <c r="O47" s="81"/>
      <c r="P47" s="81"/>
      <c r="Q47" s="81"/>
      <c r="R47" s="81"/>
      <c r="S47" s="81"/>
      <c r="T47" s="81"/>
      <c r="U47" s="81"/>
      <c r="V47" s="81"/>
      <c r="W47" s="81"/>
      <c r="X47" s="81"/>
    </row>
    <row r="48" spans="2:24" x14ac:dyDescent="0.2">
      <c r="B48" s="147" t="s">
        <v>118</v>
      </c>
      <c r="C48" s="148"/>
      <c r="D48" s="148"/>
      <c r="E48" s="148"/>
      <c r="F48" s="148"/>
      <c r="G48" s="148"/>
      <c r="H48" s="148"/>
      <c r="I48" s="148">
        <f>Input!C39</f>
        <v>4</v>
      </c>
      <c r="J48" s="148"/>
      <c r="K48" s="149">
        <f>J47*$I$48</f>
        <v>-42290.748898678416</v>
      </c>
      <c r="L48" s="81"/>
      <c r="M48" s="81"/>
      <c r="N48" s="81"/>
      <c r="O48" s="81"/>
      <c r="P48" s="81"/>
      <c r="Q48" s="81"/>
      <c r="R48" s="81"/>
      <c r="S48" s="81"/>
      <c r="T48" s="81"/>
      <c r="U48" s="81"/>
      <c r="V48" s="81"/>
      <c r="W48" s="81"/>
      <c r="X48" s="81"/>
    </row>
    <row r="49" spans="2:24" x14ac:dyDescent="0.2">
      <c r="B49" s="63" t="s">
        <v>119</v>
      </c>
      <c r="C49" s="64"/>
      <c r="D49" s="64"/>
      <c r="E49" s="64"/>
      <c r="F49" s="64"/>
      <c r="G49" s="64"/>
      <c r="H49" s="64"/>
      <c r="I49" s="64">
        <f>Input!C41</f>
        <v>5</v>
      </c>
      <c r="J49" s="23">
        <f>K48/$I$49</f>
        <v>-8458.1497797356824</v>
      </c>
      <c r="K49" s="150"/>
      <c r="L49" s="81"/>
      <c r="M49" s="81"/>
      <c r="N49" s="81"/>
      <c r="O49" s="81"/>
      <c r="P49" s="81"/>
      <c r="Q49" s="81"/>
      <c r="R49" s="81"/>
      <c r="S49" s="81"/>
      <c r="T49" s="81"/>
      <c r="U49" s="81"/>
      <c r="V49" s="81"/>
      <c r="W49" s="81"/>
      <c r="X49" s="81"/>
    </row>
    <row r="50" spans="2:24" x14ac:dyDescent="0.2">
      <c r="B50" s="13"/>
      <c r="C50" s="13"/>
      <c r="D50" s="13"/>
      <c r="E50" s="13"/>
      <c r="F50" s="13"/>
      <c r="G50" s="13"/>
      <c r="H50" s="13"/>
      <c r="I50" s="13"/>
      <c r="J50" s="14"/>
      <c r="K50" s="14"/>
      <c r="L50" s="81"/>
      <c r="M50" s="81"/>
      <c r="N50" s="81"/>
      <c r="O50" s="81"/>
      <c r="P50" s="81"/>
      <c r="Q50" s="81"/>
      <c r="R50" s="81"/>
      <c r="S50" s="81"/>
      <c r="T50" s="81"/>
      <c r="U50" s="81"/>
      <c r="V50" s="81"/>
      <c r="W50" s="81"/>
      <c r="X50" s="81"/>
    </row>
    <row r="51" spans="2:24" x14ac:dyDescent="0.2">
      <c r="B51" s="15" t="s">
        <v>69</v>
      </c>
      <c r="C51" s="16"/>
      <c r="D51" s="16"/>
      <c r="E51" s="16"/>
      <c r="F51" s="16"/>
      <c r="G51" s="16"/>
      <c r="H51" s="17"/>
      <c r="I51" s="17"/>
      <c r="J51" s="18"/>
      <c r="K51" s="19"/>
      <c r="L51" s="81"/>
      <c r="M51" s="81"/>
      <c r="N51" s="81"/>
      <c r="O51" s="81"/>
      <c r="P51" s="81"/>
      <c r="Q51" s="81"/>
      <c r="R51" s="81"/>
      <c r="S51" s="81"/>
      <c r="T51" s="81"/>
      <c r="U51" s="81"/>
      <c r="V51" s="81"/>
      <c r="W51" s="81"/>
      <c r="X51" s="81"/>
    </row>
    <row r="52" spans="2:24" x14ac:dyDescent="0.2">
      <c r="B52" s="63" t="s">
        <v>114</v>
      </c>
      <c r="C52" s="64"/>
      <c r="D52" s="64"/>
      <c r="E52" s="64"/>
      <c r="F52" s="64"/>
      <c r="G52" s="64"/>
      <c r="H52" s="64"/>
      <c r="I52" s="64">
        <f>Input!C7</f>
        <v>173</v>
      </c>
      <c r="J52" s="23">
        <f>J49*$I$52</f>
        <v>-1463259.911894273</v>
      </c>
      <c r="K52" s="24">
        <f>K48*I52</f>
        <v>-7316299.559471366</v>
      </c>
      <c r="L52" s="81"/>
      <c r="M52" s="81"/>
      <c r="N52" s="81"/>
      <c r="O52" s="81"/>
      <c r="P52" s="81"/>
      <c r="Q52" s="81"/>
      <c r="R52" s="81"/>
      <c r="S52" s="81"/>
      <c r="T52" s="81"/>
      <c r="U52" s="81"/>
      <c r="V52" s="81"/>
      <c r="W52" s="81"/>
      <c r="X52" s="81"/>
    </row>
    <row r="53" spans="2:24" ht="14" customHeight="1" x14ac:dyDescent="0.2">
      <c r="B53" s="13"/>
      <c r="C53" s="13"/>
      <c r="D53" s="13"/>
      <c r="E53" s="13"/>
      <c r="F53" s="13"/>
      <c r="G53" s="13"/>
      <c r="H53" s="20"/>
      <c r="I53" s="20"/>
      <c r="J53" s="21"/>
      <c r="K53" s="21"/>
      <c r="L53" s="81"/>
      <c r="M53" s="81"/>
      <c r="N53" s="81"/>
      <c r="O53" s="81"/>
      <c r="P53" s="81"/>
      <c r="Q53" s="81"/>
      <c r="R53" s="81"/>
      <c r="S53" s="81"/>
      <c r="T53" s="81"/>
      <c r="U53" s="81"/>
      <c r="V53" s="81"/>
      <c r="W53" s="81"/>
      <c r="X53" s="81"/>
    </row>
    <row r="54" spans="2:24" x14ac:dyDescent="0.2">
      <c r="B54" s="15" t="s">
        <v>68</v>
      </c>
      <c r="C54" s="16"/>
      <c r="D54" s="16"/>
      <c r="E54" s="16"/>
      <c r="F54" s="16"/>
      <c r="G54" s="16"/>
      <c r="H54" s="17"/>
      <c r="I54" s="17"/>
      <c r="J54" s="18"/>
      <c r="K54" s="19"/>
      <c r="L54" s="81"/>
      <c r="M54" s="81"/>
      <c r="N54" s="81"/>
      <c r="O54" s="81"/>
      <c r="P54" s="81"/>
      <c r="Q54" s="81"/>
      <c r="R54" s="81"/>
      <c r="S54" s="81"/>
      <c r="T54" s="81"/>
      <c r="U54" s="81"/>
      <c r="V54" s="81"/>
      <c r="W54" s="81"/>
      <c r="X54" s="81"/>
    </row>
    <row r="55" spans="2:24" x14ac:dyDescent="0.2">
      <c r="B55" s="63" t="s">
        <v>70</v>
      </c>
      <c r="C55" s="64"/>
      <c r="D55" s="64"/>
      <c r="E55" s="64"/>
      <c r="F55" s="64"/>
      <c r="G55" s="64"/>
      <c r="H55" s="64"/>
      <c r="I55" s="64">
        <f>Input!C40</f>
        <v>2</v>
      </c>
      <c r="J55" s="23">
        <f>K55/I49</f>
        <v>-4229.0748898678412</v>
      </c>
      <c r="K55" s="24">
        <f>J47*$I$55</f>
        <v>-21145.374449339208</v>
      </c>
      <c r="L55" s="81"/>
      <c r="M55" s="81"/>
      <c r="N55" s="81"/>
      <c r="O55" s="81"/>
      <c r="P55" s="81"/>
      <c r="Q55" s="81"/>
      <c r="R55" s="81"/>
      <c r="S55" s="81"/>
      <c r="T55" s="81"/>
      <c r="U55" s="81"/>
      <c r="V55" s="81"/>
      <c r="W55" s="81"/>
      <c r="X55" s="81"/>
    </row>
    <row r="56" spans="2:24" x14ac:dyDescent="0.2">
      <c r="B56" s="13"/>
      <c r="C56" s="13"/>
      <c r="D56" s="13"/>
      <c r="E56" s="13"/>
      <c r="F56" s="13"/>
      <c r="G56" s="13"/>
      <c r="H56" s="13"/>
      <c r="I56" s="13"/>
      <c r="J56" s="14"/>
      <c r="K56" s="22"/>
      <c r="L56" s="81"/>
      <c r="M56" s="81"/>
      <c r="N56" s="81"/>
      <c r="O56" s="81"/>
      <c r="P56" s="81"/>
      <c r="Q56" s="81"/>
      <c r="R56" s="81"/>
      <c r="S56" s="81"/>
      <c r="T56" s="81"/>
      <c r="U56" s="81"/>
      <c r="V56" s="81"/>
      <c r="W56" s="81"/>
      <c r="X56" s="81"/>
    </row>
    <row r="57" spans="2:24" x14ac:dyDescent="0.2">
      <c r="B57" s="15" t="s">
        <v>112</v>
      </c>
      <c r="C57" s="16"/>
      <c r="D57" s="16"/>
      <c r="E57" s="16"/>
      <c r="F57" s="16"/>
      <c r="G57" s="16"/>
      <c r="H57" s="17"/>
      <c r="I57" s="17"/>
      <c r="J57" s="18"/>
      <c r="K57" s="19"/>
      <c r="L57" s="81"/>
      <c r="M57" s="81"/>
      <c r="N57" s="81"/>
      <c r="O57" s="81"/>
      <c r="P57" s="81"/>
      <c r="Q57" s="81"/>
      <c r="R57" s="81"/>
      <c r="S57" s="81"/>
      <c r="T57" s="81"/>
      <c r="U57" s="81"/>
      <c r="V57" s="81"/>
      <c r="W57" s="81"/>
      <c r="X57" s="81"/>
    </row>
    <row r="58" spans="2:24" x14ac:dyDescent="0.2">
      <c r="B58" s="63" t="s">
        <v>113</v>
      </c>
      <c r="C58" s="64"/>
      <c r="D58" s="64"/>
      <c r="E58" s="64"/>
      <c r="F58" s="64"/>
      <c r="G58" s="64"/>
      <c r="H58" s="64"/>
      <c r="I58" s="64">
        <f>I52</f>
        <v>173</v>
      </c>
      <c r="J58" s="23">
        <f>J55*$I$58</f>
        <v>-731629.95594713651</v>
      </c>
      <c r="K58" s="24">
        <f>K55*$I$58</f>
        <v>-3658149.779735683</v>
      </c>
      <c r="L58" s="81"/>
      <c r="M58" s="81"/>
      <c r="N58" s="81"/>
      <c r="O58" s="81"/>
      <c r="P58" s="81"/>
      <c r="Q58" s="81"/>
      <c r="R58" s="81"/>
      <c r="S58" s="81"/>
      <c r="T58" s="81"/>
      <c r="U58" s="81"/>
      <c r="V58" s="81"/>
      <c r="W58" s="81"/>
      <c r="X58" s="81"/>
    </row>
    <row r="59" spans="2:24" x14ac:dyDescent="0.2">
      <c r="B59" s="13"/>
      <c r="C59" s="13"/>
      <c r="D59" s="13"/>
      <c r="E59" s="13"/>
      <c r="F59" s="13"/>
      <c r="G59" s="13"/>
      <c r="H59" s="13"/>
      <c r="I59" s="13"/>
      <c r="J59" s="22"/>
      <c r="K59" s="22"/>
      <c r="L59" s="81"/>
      <c r="Q59" s="81"/>
      <c r="R59" s="81"/>
      <c r="S59" s="81"/>
      <c r="T59" s="81"/>
      <c r="U59" s="81"/>
      <c r="V59" s="81"/>
      <c r="W59" s="81"/>
      <c r="X59" s="81"/>
    </row>
    <row r="60" spans="2:24" x14ac:dyDescent="0.2">
      <c r="B60" s="13"/>
      <c r="C60" s="13"/>
      <c r="D60" s="13"/>
      <c r="E60" s="13"/>
      <c r="F60" s="13"/>
      <c r="G60" s="13"/>
      <c r="H60" s="13"/>
      <c r="I60" s="13"/>
      <c r="J60" s="14"/>
      <c r="K60" s="14"/>
      <c r="L60" s="81"/>
      <c r="Q60" s="81"/>
      <c r="R60" s="81"/>
      <c r="S60" s="81"/>
      <c r="T60" s="81"/>
      <c r="U60" s="81"/>
      <c r="V60" s="81"/>
      <c r="W60" s="81"/>
      <c r="X60" s="81"/>
    </row>
    <row r="61" spans="2:24" x14ac:dyDescent="0.2">
      <c r="I61" s="4"/>
      <c r="K61" s="2"/>
      <c r="L61" s="81"/>
      <c r="Q61" s="81"/>
      <c r="R61" s="81"/>
      <c r="S61" s="81"/>
      <c r="T61" s="81"/>
      <c r="U61" s="81"/>
      <c r="V61" s="81"/>
      <c r="W61" s="81"/>
      <c r="X61" s="81"/>
    </row>
    <row r="62" spans="2:24" x14ac:dyDescent="0.2">
      <c r="I62" s="4"/>
      <c r="K62" s="2"/>
    </row>
    <row r="63" spans="2:24" x14ac:dyDescent="0.2">
      <c r="I63" s="4"/>
      <c r="K63" s="2"/>
    </row>
    <row r="64" spans="2:24" x14ac:dyDescent="0.2">
      <c r="I64" s="4"/>
      <c r="K64" s="2"/>
    </row>
    <row r="65" spans="11:11" x14ac:dyDescent="0.2">
      <c r="K65" s="2"/>
    </row>
  </sheetData>
  <mergeCells count="21">
    <mergeCell ref="F7:F9"/>
    <mergeCell ref="B11:B13"/>
    <mergeCell ref="C11:C13"/>
    <mergeCell ref="D11:D13"/>
    <mergeCell ref="F11:F13"/>
    <mergeCell ref="G3:G5"/>
    <mergeCell ref="G7:G9"/>
    <mergeCell ref="G11:G13"/>
    <mergeCell ref="B32:B34"/>
    <mergeCell ref="B37:B39"/>
    <mergeCell ref="B23:B25"/>
    <mergeCell ref="B26:B29"/>
    <mergeCell ref="B30:B31"/>
    <mergeCell ref="C3:C5"/>
    <mergeCell ref="D3:D5"/>
    <mergeCell ref="E3:E5"/>
    <mergeCell ref="F3:F5"/>
    <mergeCell ref="B3:B5"/>
    <mergeCell ref="B7:B9"/>
    <mergeCell ref="C7:C9"/>
    <mergeCell ref="D7:D9"/>
  </mergeCells>
  <pageMargins left="0.7" right="0.7" top="0.75" bottom="0.75" header="0.3" footer="0.3"/>
  <pageSetup paperSize="9" orientation="portrait" horizontalDpi="0" verticalDpi="0"/>
  <ignoredErrors>
    <ignoredError sqref="J10" formula="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F4B61-C556-8B4C-AE34-70A4AA2482E0}">
  <dimension ref="B1:E5"/>
  <sheetViews>
    <sheetView showGridLines="0" zoomScale="150" zoomScaleNormal="150" workbookViewId="0"/>
  </sheetViews>
  <sheetFormatPr baseColWidth="10" defaultRowHeight="16" x14ac:dyDescent="0.2"/>
  <cols>
    <col min="1" max="1" width="5" customWidth="1"/>
    <col min="2" max="2" width="34.1640625" bestFit="1" customWidth="1"/>
    <col min="3" max="3" width="34.83203125" customWidth="1"/>
    <col min="4" max="4" width="19.33203125" bestFit="1" customWidth="1"/>
    <col min="5" max="5" width="19.1640625" bestFit="1" customWidth="1"/>
  </cols>
  <sheetData>
    <row r="1" spans="2:5" ht="30" customHeight="1" x14ac:dyDescent="0.2"/>
    <row r="2" spans="2:5" ht="17" x14ac:dyDescent="0.2">
      <c r="B2" s="165" t="s">
        <v>129</v>
      </c>
      <c r="C2" s="166" t="s">
        <v>134</v>
      </c>
      <c r="D2" s="167" t="s">
        <v>135</v>
      </c>
      <c r="E2" s="168" t="s">
        <v>130</v>
      </c>
    </row>
    <row r="3" spans="2:5" x14ac:dyDescent="0.2">
      <c r="B3" s="169" t="s">
        <v>131</v>
      </c>
      <c r="C3" s="170">
        <v>40000</v>
      </c>
      <c r="D3" s="170">
        <v>95000</v>
      </c>
      <c r="E3" s="171">
        <v>33000</v>
      </c>
    </row>
    <row r="4" spans="2:5" x14ac:dyDescent="0.2">
      <c r="B4" s="169" t="s">
        <v>132</v>
      </c>
      <c r="C4" s="170">
        <f>C3*(1+Input!$C$18)</f>
        <v>56000</v>
      </c>
      <c r="D4" s="170">
        <f>D3*(1+Input!$C$18)</f>
        <v>133000</v>
      </c>
      <c r="E4" s="171">
        <f>E3*(1+Input!$C$18)</f>
        <v>46200</v>
      </c>
    </row>
    <row r="5" spans="2:5" x14ac:dyDescent="0.2">
      <c r="B5" s="172" t="s">
        <v>133</v>
      </c>
      <c r="C5" s="173">
        <f>C4/(Input!$C$19*Input!$C$20*60)</f>
        <v>0.56711732239607071</v>
      </c>
      <c r="D5" s="173">
        <f>D4/(Input!$C$19*Input!$C$20*60)</f>
        <v>1.3469036406906678</v>
      </c>
      <c r="E5" s="174">
        <f>E4/(Input!$C$19*Input!$C$20*60)</f>
        <v>0.46787179097675829</v>
      </c>
    </row>
  </sheetData>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68135-A861-2E4F-9369-6E6FD3849924}">
  <sheetPr>
    <outlinePr summaryBelow="0" summaryRight="0"/>
  </sheetPr>
  <dimension ref="A1:L22"/>
  <sheetViews>
    <sheetView showGridLines="0" zoomScale="140" zoomScaleNormal="140" workbookViewId="0"/>
  </sheetViews>
  <sheetFormatPr baseColWidth="10" defaultColWidth="12.6640625" defaultRowHeight="15.75" customHeight="1" x14ac:dyDescent="0.2"/>
  <cols>
    <col min="1" max="1" width="2.6640625" style="179" customWidth="1"/>
    <col min="2" max="2" width="33.6640625" style="179" customWidth="1"/>
    <col min="3" max="3" width="7.5" style="179" customWidth="1"/>
    <col min="4" max="4" width="17.6640625" style="179" customWidth="1"/>
    <col min="5" max="5" width="4.1640625" style="179" customWidth="1"/>
    <col min="6" max="10" width="12.6640625" style="179"/>
    <col min="11" max="11" width="1.33203125" style="179" customWidth="1"/>
    <col min="12" max="12" width="14" style="179" customWidth="1"/>
    <col min="13" max="16384" width="12.6640625" style="179"/>
  </cols>
  <sheetData>
    <row r="1" spans="1:12" ht="15" customHeight="1" x14ac:dyDescent="0.2">
      <c r="A1" s="181"/>
      <c r="B1" s="196"/>
      <c r="C1" s="196"/>
      <c r="D1" s="196"/>
      <c r="E1" s="196"/>
      <c r="F1" s="196"/>
      <c r="G1" s="196"/>
      <c r="H1" s="196"/>
      <c r="I1" s="196"/>
      <c r="J1" s="196"/>
    </row>
    <row r="2" spans="1:12" ht="14" x14ac:dyDescent="0.2">
      <c r="B2" s="181"/>
      <c r="F2" s="204">
        <v>2023</v>
      </c>
      <c r="G2" s="203">
        <v>2024</v>
      </c>
      <c r="H2" s="204">
        <v>2025</v>
      </c>
      <c r="I2" s="203">
        <v>2026</v>
      </c>
      <c r="J2" s="204">
        <v>2027</v>
      </c>
      <c r="K2" s="203"/>
      <c r="L2" s="203" t="s">
        <v>216</v>
      </c>
    </row>
    <row r="3" spans="1:12" ht="14" x14ac:dyDescent="0.2">
      <c r="B3" s="181" t="s">
        <v>215</v>
      </c>
      <c r="C3" s="202" t="s">
        <v>214</v>
      </c>
      <c r="D3" s="202" t="s">
        <v>213</v>
      </c>
      <c r="E3" s="202" t="s">
        <v>25</v>
      </c>
      <c r="F3" s="257" t="s">
        <v>212</v>
      </c>
      <c r="G3" s="258"/>
      <c r="H3" s="258"/>
      <c r="I3" s="258"/>
      <c r="J3" s="258"/>
      <c r="K3" s="258"/>
      <c r="L3" s="258"/>
    </row>
    <row r="4" spans="1:12" ht="14" x14ac:dyDescent="0.2">
      <c r="B4" s="181" t="s">
        <v>211</v>
      </c>
      <c r="C4" s="193" t="s">
        <v>179</v>
      </c>
      <c r="D4" s="193">
        <f>VLOOKUP(C4,Input!$D$59:$K$79,8,FALSE)*(1+Input!$C$46)</f>
        <v>135283.1327746048</v>
      </c>
      <c r="E4" s="180">
        <v>1</v>
      </c>
      <c r="F4" s="193">
        <f>D4*(1+Input!$C$45)</f>
        <v>148811.44605206529</v>
      </c>
      <c r="G4" s="193">
        <f>$F4*(1+Input!$C$45)^(G$2-$F$2)</f>
        <v>163692.59065727182</v>
      </c>
      <c r="H4" s="193">
        <f>$F4*(1+Input!$C$45)^(H$2-$F$2)</f>
        <v>180061.84972299903</v>
      </c>
      <c r="I4" s="193">
        <f>$F4*(1+Input!$C$45)^(I$2-$F$2)</f>
        <v>198068.03469529896</v>
      </c>
      <c r="J4" s="193">
        <f>$F4*(1+Input!$C$45)^(J$2-$F$2)</f>
        <v>217874.83816482886</v>
      </c>
      <c r="K4" s="181"/>
      <c r="L4" s="193">
        <f t="shared" ref="L4:L9" si="0">SUM(F4:J4)</f>
        <v>908508.759292464</v>
      </c>
    </row>
    <row r="5" spans="1:12" ht="14" x14ac:dyDescent="0.2">
      <c r="B5" s="181" t="s">
        <v>210</v>
      </c>
      <c r="C5" s="193" t="s">
        <v>177</v>
      </c>
      <c r="D5" s="193">
        <f>VLOOKUP(C5,Input!$D$59:$K$79,8,FALSE)*(1+Input!$C$46)</f>
        <v>120056.17899479039</v>
      </c>
      <c r="E5" s="180">
        <v>1</v>
      </c>
      <c r="F5" s="193">
        <f>D5*(1+Input!$C$45)</f>
        <v>132061.79689426944</v>
      </c>
      <c r="G5" s="193">
        <f>$F5*(1+Input!$C$45)^(G$2-$F$2)</f>
        <v>145267.97658369641</v>
      </c>
      <c r="H5" s="193">
        <f>$F5*(1+Input!$C$45)^(H$2-$F$2)</f>
        <v>159794.77424206605</v>
      </c>
      <c r="I5" s="193">
        <f>$F5*(1+Input!$C$45)^(I$2-$F$2)</f>
        <v>175774.25166627267</v>
      </c>
      <c r="J5" s="193">
        <f>$F5*(1+Input!$C$45)^(J$2-$F$2)</f>
        <v>193351.67683289995</v>
      </c>
      <c r="K5" s="181"/>
      <c r="L5" s="193">
        <f t="shared" si="0"/>
        <v>806250.47621920449</v>
      </c>
    </row>
    <row r="6" spans="1:12" ht="14" x14ac:dyDescent="0.2">
      <c r="B6" s="181" t="s">
        <v>209</v>
      </c>
      <c r="C6" s="193" t="s">
        <v>177</v>
      </c>
      <c r="D6" s="193">
        <f>VLOOKUP(C6,Input!$D$59:$K$79,8,FALSE)*(1+Input!$C$46)</f>
        <v>120056.17899479039</v>
      </c>
      <c r="E6" s="180">
        <v>1</v>
      </c>
      <c r="F6" s="193">
        <f>D6*(1+Input!$C$45)</f>
        <v>132061.79689426944</v>
      </c>
      <c r="G6" s="193">
        <f>$F6*(1+Input!$C$45)^(G$2-$F$2)</f>
        <v>145267.97658369641</v>
      </c>
      <c r="H6" s="193">
        <f>$F6*(1+Input!$C$45)^(H$2-$F$2)</f>
        <v>159794.77424206605</v>
      </c>
      <c r="I6" s="193">
        <f>$F6*(1+Input!$C$45)^(I$2-$F$2)</f>
        <v>175774.25166627267</v>
      </c>
      <c r="J6" s="193">
        <f>$F6*(1+Input!$C$45)^(J$2-$F$2)</f>
        <v>193351.67683289995</v>
      </c>
      <c r="K6" s="181"/>
      <c r="L6" s="193">
        <f t="shared" si="0"/>
        <v>806250.47621920449</v>
      </c>
    </row>
    <row r="7" spans="1:12" ht="14" x14ac:dyDescent="0.2">
      <c r="B7" s="181" t="s">
        <v>208</v>
      </c>
      <c r="C7" s="193" t="s">
        <v>176</v>
      </c>
      <c r="D7" s="193">
        <f>VLOOKUP(C7,Input!$D$59:$K$79,8,FALSE)*(1+Input!$C$46)</f>
        <v>75332.625550745594</v>
      </c>
      <c r="E7" s="180">
        <v>1</v>
      </c>
      <c r="F7" s="193">
        <f>D7*(1+Input!$C$45)</f>
        <v>82865.888105820166</v>
      </c>
      <c r="G7" s="193">
        <f>$F7*(1+Input!$C$45)^(G$2-$F$2)</f>
        <v>91152.476916402185</v>
      </c>
      <c r="H7" s="193">
        <f>$F7*(1+Input!$C$45)^(H$2-$F$2)</f>
        <v>100267.72460804242</v>
      </c>
      <c r="I7" s="193">
        <f>$F7*(1+Input!$C$45)^(I$2-$F$2)</f>
        <v>110294.49706884667</v>
      </c>
      <c r="J7" s="193">
        <f>$F7*(1+Input!$C$45)^(J$2-$F$2)</f>
        <v>121323.94677573134</v>
      </c>
      <c r="K7" s="181"/>
      <c r="L7" s="193">
        <f t="shared" si="0"/>
        <v>505904.53347484278</v>
      </c>
    </row>
    <row r="8" spans="1:12" ht="14" x14ac:dyDescent="0.2">
      <c r="B8" s="181" t="s">
        <v>207</v>
      </c>
      <c r="C8" s="193" t="s">
        <v>176</v>
      </c>
      <c r="D8" s="193">
        <f>VLOOKUP(C8,Input!$D$59:$K$79,8,FALSE)*(1+Input!$C$46)</f>
        <v>75332.625550745594</v>
      </c>
      <c r="E8" s="180">
        <v>1</v>
      </c>
      <c r="F8" s="193">
        <f>D8*(1+Input!$C$45)</f>
        <v>82865.888105820166</v>
      </c>
      <c r="G8" s="193">
        <f>$F8*(1+Input!$C$45)^(G$2-$F$2)</f>
        <v>91152.476916402185</v>
      </c>
      <c r="H8" s="193">
        <f>$F8*(1+Input!$C$45)^(H$2-$F$2)</f>
        <v>100267.72460804242</v>
      </c>
      <c r="I8" s="193">
        <f>$F8*(1+Input!$C$45)^(I$2-$F$2)</f>
        <v>110294.49706884667</v>
      </c>
      <c r="J8" s="193">
        <f>$F8*(1+Input!$C$45)^(J$2-$F$2)</f>
        <v>121323.94677573134</v>
      </c>
      <c r="K8" s="181"/>
      <c r="L8" s="193">
        <f t="shared" si="0"/>
        <v>505904.53347484278</v>
      </c>
    </row>
    <row r="9" spans="1:12" ht="14" x14ac:dyDescent="0.2">
      <c r="B9" s="181" t="s">
        <v>206</v>
      </c>
      <c r="C9" s="193" t="s">
        <v>170</v>
      </c>
      <c r="D9" s="193">
        <f>VLOOKUP(C9,Input!$D$59:$K$79,8,FALSE)*(1+Input!$C$46)</f>
        <v>54655.134900326404</v>
      </c>
      <c r="E9" s="180">
        <v>1</v>
      </c>
      <c r="F9" s="191">
        <v>40000</v>
      </c>
      <c r="G9" s="191">
        <f>$F9*(1+Input!$C$45)^(G$2-$F$2)</f>
        <v>44000</v>
      </c>
      <c r="H9" s="191">
        <f>$F9*(1+Input!$C$45)^(H$2-$F$2)</f>
        <v>48400.000000000007</v>
      </c>
      <c r="I9" s="191">
        <f>$F9*(1+Input!$C$45)^(I$2-$F$2)</f>
        <v>53240.000000000015</v>
      </c>
      <c r="J9" s="191">
        <f>$F9*(1+Input!$C$45)^(J$2-$F$2)</f>
        <v>58564.000000000015</v>
      </c>
      <c r="K9" s="192"/>
      <c r="L9" s="191">
        <f t="shared" si="0"/>
        <v>244204</v>
      </c>
    </row>
    <row r="10" spans="1:12" ht="7.5" customHeight="1" x14ac:dyDescent="0.2">
      <c r="C10" s="201"/>
      <c r="D10" s="201"/>
      <c r="E10" s="201"/>
      <c r="F10" s="201"/>
      <c r="G10" s="201"/>
      <c r="H10" s="201"/>
      <c r="I10" s="201"/>
      <c r="J10" s="201"/>
      <c r="K10" s="200"/>
      <c r="L10" s="200"/>
    </row>
    <row r="11" spans="1:12" ht="14" x14ac:dyDescent="0.2">
      <c r="B11" s="181" t="s">
        <v>35</v>
      </c>
      <c r="C11" s="193"/>
      <c r="D11" s="193"/>
      <c r="E11" s="193"/>
      <c r="F11" s="195">
        <f>SUM(F4:F9)</f>
        <v>618666.81605224451</v>
      </c>
      <c r="G11" s="195">
        <f>SUM(G4:G9)</f>
        <v>680533.49765746912</v>
      </c>
      <c r="H11" s="195">
        <f>SUM(H4:H9)</f>
        <v>748586.84742321598</v>
      </c>
      <c r="I11" s="195">
        <f>SUM(I4:I9)</f>
        <v>823445.5321655377</v>
      </c>
      <c r="J11" s="195">
        <f>SUM(J4:J9)</f>
        <v>905790.08538209158</v>
      </c>
      <c r="K11" s="194"/>
      <c r="L11" s="195">
        <f>SUM(F11:J11)</f>
        <v>3777022.7786805583</v>
      </c>
    </row>
    <row r="12" spans="1:12" ht="14" x14ac:dyDescent="0.2">
      <c r="B12" s="181" t="s">
        <v>136</v>
      </c>
      <c r="C12" s="193"/>
      <c r="D12" s="193"/>
      <c r="E12" s="193"/>
      <c r="F12" s="193">
        <f>F11*Input!$C$46</f>
        <v>173226.70849462849</v>
      </c>
      <c r="G12" s="193">
        <f>G11*Input!$C$46</f>
        <v>190549.37934409137</v>
      </c>
      <c r="H12" s="193">
        <f>H11*Input!$C$46</f>
        <v>209604.3172785005</v>
      </c>
      <c r="I12" s="193">
        <f>I11*Input!$C$46</f>
        <v>230564.74900635058</v>
      </c>
      <c r="J12" s="193">
        <f>J11*Input!$C$46</f>
        <v>253621.22390698566</v>
      </c>
      <c r="K12" s="181"/>
      <c r="L12" s="193">
        <f>SUM(F12:J12)</f>
        <v>1057566.3780305567</v>
      </c>
    </row>
    <row r="13" spans="1:12" ht="14" x14ac:dyDescent="0.2">
      <c r="B13" s="182" t="s">
        <v>205</v>
      </c>
      <c r="C13" s="199"/>
      <c r="D13" s="199"/>
      <c r="E13" s="199"/>
      <c r="F13" s="197">
        <f>SUM(F11:F12)</f>
        <v>791893.52454687306</v>
      </c>
      <c r="G13" s="197">
        <f>SUM(G11:G12)</f>
        <v>871082.87700156053</v>
      </c>
      <c r="H13" s="197">
        <f>SUM(H11:H12)</f>
        <v>958191.16470171651</v>
      </c>
      <c r="I13" s="197">
        <f>SUM(I11:I12)</f>
        <v>1054010.2811718883</v>
      </c>
      <c r="J13" s="197">
        <f>SUM(J11:J12)</f>
        <v>1159411.3092890773</v>
      </c>
      <c r="K13" s="198"/>
      <c r="L13" s="197">
        <f>SUM(F13:J13)</f>
        <v>4834589.1567111155</v>
      </c>
    </row>
    <row r="14" spans="1:12" ht="7.5" customHeight="1" x14ac:dyDescent="0.2"/>
    <row r="15" spans="1:12" ht="14" x14ac:dyDescent="0.2">
      <c r="C15" s="196"/>
      <c r="D15" s="196"/>
      <c r="E15" s="196"/>
      <c r="F15" s="259" t="s">
        <v>204</v>
      </c>
      <c r="G15" s="258"/>
      <c r="H15" s="258"/>
      <c r="I15" s="258"/>
      <c r="J15" s="258"/>
      <c r="K15" s="258"/>
      <c r="L15" s="258"/>
    </row>
    <row r="16" spans="1:12" ht="14" x14ac:dyDescent="0.2">
      <c r="B16" s="181" t="s">
        <v>33</v>
      </c>
      <c r="C16" s="181"/>
      <c r="D16" s="181"/>
      <c r="E16" s="181"/>
      <c r="F16" s="195">
        <v>10000</v>
      </c>
      <c r="G16" s="195">
        <f>$F16*(1+Input!$C$45)^(G$2-$F$2)</f>
        <v>11000</v>
      </c>
      <c r="H16" s="195">
        <f>$F16*(1+Input!$C$45)^(H$2-$F$2)</f>
        <v>12100.000000000002</v>
      </c>
      <c r="I16" s="195">
        <f>$F16*(1+Input!$C$45)^(I$2-$F$2)</f>
        <v>13310.000000000004</v>
      </c>
      <c r="J16" s="195">
        <f>$F16*(1+Input!$C$45)^(J$2-$F$2)</f>
        <v>14641.000000000004</v>
      </c>
      <c r="K16" s="194"/>
      <c r="L16" s="193">
        <f>SUM(F16:J16)</f>
        <v>61051</v>
      </c>
    </row>
    <row r="17" spans="2:12" ht="14" x14ac:dyDescent="0.2">
      <c r="B17" s="181" t="s">
        <v>34</v>
      </c>
      <c r="C17" s="181"/>
      <c r="D17" s="181"/>
      <c r="E17" s="181"/>
      <c r="F17" s="193">
        <v>2000</v>
      </c>
      <c r="G17" s="193">
        <f>$F17*(1+Input!$C$45)^(G$2-$F$2)</f>
        <v>2200</v>
      </c>
      <c r="H17" s="193">
        <f>$F17*(1+Input!$C$45)^(H$2-$F$2)</f>
        <v>2420.0000000000005</v>
      </c>
      <c r="I17" s="193">
        <f>$F17*(1+Input!$C$45)^(I$2-$F$2)</f>
        <v>2662.0000000000009</v>
      </c>
      <c r="J17" s="193">
        <f>$F17*(1+Input!$C$45)^(J$2-$F$2)</f>
        <v>2928.2000000000007</v>
      </c>
      <c r="K17" s="193"/>
      <c r="L17" s="193">
        <f>SUM(F17:J17)</f>
        <v>12210.2</v>
      </c>
    </row>
    <row r="18" spans="2:12" ht="14" x14ac:dyDescent="0.2">
      <c r="B18" s="181" t="s">
        <v>23</v>
      </c>
      <c r="C18" s="181"/>
      <c r="D18" s="181"/>
      <c r="E18" s="181"/>
      <c r="F18" s="191">
        <v>6000</v>
      </c>
      <c r="G18" s="191">
        <f>$F18*(1+Input!$C$45)^(G$2-$F$2)</f>
        <v>6600.0000000000009</v>
      </c>
      <c r="H18" s="191">
        <f>$F18*(1+Input!$C$45)^(H$2-$F$2)</f>
        <v>7260.0000000000009</v>
      </c>
      <c r="I18" s="191">
        <f>$F18*(1+Input!$C$45)^(I$2-$F$2)</f>
        <v>7986.0000000000027</v>
      </c>
      <c r="J18" s="191">
        <f>$F18*(1+Input!$C$45)^(J$2-$F$2)</f>
        <v>8784.6000000000022</v>
      </c>
      <c r="K18" s="192"/>
      <c r="L18" s="191">
        <f>SUM(F18:J18)</f>
        <v>36630.600000000006</v>
      </c>
    </row>
    <row r="19" spans="2:12" ht="7.5" customHeight="1" x14ac:dyDescent="0.2">
      <c r="B19" s="190"/>
      <c r="C19" s="190"/>
      <c r="D19" s="190"/>
      <c r="E19" s="190"/>
      <c r="F19" s="190"/>
      <c r="G19" s="190"/>
      <c r="H19" s="190"/>
      <c r="I19" s="190"/>
      <c r="J19" s="190"/>
      <c r="K19" s="190"/>
      <c r="L19" s="190"/>
    </row>
    <row r="20" spans="2:12" ht="14" x14ac:dyDescent="0.2">
      <c r="B20" s="189" t="s">
        <v>203</v>
      </c>
      <c r="C20" s="189"/>
      <c r="D20" s="189"/>
      <c r="E20" s="189"/>
      <c r="F20" s="187">
        <f>SUM(F16:F18)</f>
        <v>18000</v>
      </c>
      <c r="G20" s="187">
        <f>SUM(G16:G18)</f>
        <v>19800</v>
      </c>
      <c r="H20" s="187">
        <f>SUM(H16:H18)</f>
        <v>21780.000000000004</v>
      </c>
      <c r="I20" s="187">
        <f>SUM(I16:I18)</f>
        <v>23958.000000000007</v>
      </c>
      <c r="J20" s="187">
        <f>SUM(J16:J18)</f>
        <v>26353.800000000007</v>
      </c>
      <c r="K20" s="188"/>
      <c r="L20" s="187">
        <f>SUM(F20:J20)</f>
        <v>109891.8</v>
      </c>
    </row>
    <row r="21" spans="2:12" ht="14" x14ac:dyDescent="0.2">
      <c r="L21" s="181"/>
    </row>
    <row r="22" spans="2:12" ht="14" x14ac:dyDescent="0.2">
      <c r="B22" s="186" t="s">
        <v>202</v>
      </c>
      <c r="C22" s="184"/>
      <c r="D22" s="184"/>
      <c r="E22" s="184"/>
      <c r="F22" s="185">
        <f>F13+F20</f>
        <v>809893.52454687306</v>
      </c>
      <c r="G22" s="185">
        <f>G13+G20</f>
        <v>890882.87700156053</v>
      </c>
      <c r="H22" s="185">
        <f>H13+H20</f>
        <v>979971.16470171651</v>
      </c>
      <c r="I22" s="185">
        <f>I13+I20</f>
        <v>1077968.2811718883</v>
      </c>
      <c r="J22" s="185">
        <f>J13+J20</f>
        <v>1185765.1092890773</v>
      </c>
      <c r="K22" s="184"/>
      <c r="L22" s="183">
        <f>SUM(F22:J22)</f>
        <v>4944480.9567111153</v>
      </c>
    </row>
  </sheetData>
  <mergeCells count="2">
    <mergeCell ref="F3:L3"/>
    <mergeCell ref="F15:L15"/>
  </mergeCells>
  <pageMargins left="0.7" right="0.7" top="0.75" bottom="0.75" header="0.3" footer="0.3"/>
  <tableParts count="3">
    <tablePart r:id="rId1"/>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7703-1DF0-D44B-80DC-338B6987A87A}">
  <dimension ref="B2:I11"/>
  <sheetViews>
    <sheetView showGridLines="0" zoomScale="160" zoomScaleNormal="160" workbookViewId="0"/>
  </sheetViews>
  <sheetFormatPr baseColWidth="10" defaultColWidth="11" defaultRowHeight="16" x14ac:dyDescent="0.2"/>
  <cols>
    <col min="1" max="1" width="5" customWidth="1"/>
    <col min="2" max="2" width="26.83203125" bestFit="1" customWidth="1"/>
    <col min="5" max="5" width="2.5" customWidth="1"/>
    <col min="6" max="6" width="16.5" bestFit="1" customWidth="1"/>
    <col min="8" max="8" width="5" customWidth="1"/>
    <col min="9" max="9" width="18.1640625" customWidth="1"/>
  </cols>
  <sheetData>
    <row r="2" spans="2:9" x14ac:dyDescent="0.2">
      <c r="B2" s="65"/>
      <c r="C2" s="260" t="s">
        <v>54</v>
      </c>
      <c r="D2" s="260"/>
      <c r="E2" s="260"/>
      <c r="F2" s="260"/>
      <c r="G2" s="66"/>
      <c r="H2" s="66"/>
      <c r="I2" s="75"/>
    </row>
    <row r="3" spans="2:9" x14ac:dyDescent="0.2">
      <c r="B3" s="76"/>
      <c r="C3" s="77" t="s">
        <v>58</v>
      </c>
      <c r="D3" s="77" t="s">
        <v>53</v>
      </c>
      <c r="E3" s="78"/>
      <c r="F3" s="77" t="s">
        <v>71</v>
      </c>
      <c r="G3" s="77" t="s">
        <v>55</v>
      </c>
      <c r="H3" s="77"/>
      <c r="I3" s="79" t="s">
        <v>56</v>
      </c>
    </row>
    <row r="4" spans="2:9" x14ac:dyDescent="0.2">
      <c r="B4" s="10" t="s">
        <v>43</v>
      </c>
      <c r="C4" s="35">
        <v>1246</v>
      </c>
      <c r="D4" s="35">
        <v>92</v>
      </c>
      <c r="E4" s="35" t="s">
        <v>59</v>
      </c>
      <c r="F4" s="51">
        <f>D4/C4</f>
        <v>7.3836276083467101E-2</v>
      </c>
      <c r="G4" s="35">
        <v>200000</v>
      </c>
      <c r="H4" s="35" t="s">
        <v>91</v>
      </c>
      <c r="I4" s="58">
        <f>F4*(G4/SUM($G$4:$G$9))</f>
        <v>1.4168820897276068E-2</v>
      </c>
    </row>
    <row r="5" spans="2:9" x14ac:dyDescent="0.2">
      <c r="B5" s="10" t="s">
        <v>45</v>
      </c>
      <c r="C5" s="35">
        <v>1246</v>
      </c>
      <c r="D5" s="35">
        <f>0.2*236</f>
        <v>47.2</v>
      </c>
      <c r="E5" s="35" t="s">
        <v>60</v>
      </c>
      <c r="F5" s="51">
        <f>D5/C5</f>
        <v>3.7881219903691817E-2</v>
      </c>
      <c r="G5" s="35">
        <v>1236</v>
      </c>
      <c r="H5" s="35" t="s">
        <v>92</v>
      </c>
      <c r="I5" s="58">
        <f t="shared" ref="I5:I9" si="0">F5*(G5/SUM($G$4:$G$9))</f>
        <v>4.4923786744041737E-5</v>
      </c>
    </row>
    <row r="6" spans="2:9" x14ac:dyDescent="0.2">
      <c r="B6" s="10" t="s">
        <v>117</v>
      </c>
      <c r="C6" s="35">
        <v>1246</v>
      </c>
      <c r="D6" s="35">
        <v>120</v>
      </c>
      <c r="E6" s="35" t="s">
        <v>61</v>
      </c>
      <c r="F6" s="51">
        <f>D6/C6</f>
        <v>9.6308186195826651E-2</v>
      </c>
      <c r="G6" s="35">
        <v>505000</v>
      </c>
      <c r="H6" s="35" t="s">
        <v>93</v>
      </c>
      <c r="I6" s="58">
        <f t="shared" si="0"/>
        <v>4.6664703607333137E-2</v>
      </c>
    </row>
    <row r="7" spans="2:9" x14ac:dyDescent="0.2">
      <c r="B7" s="10" t="s">
        <v>115</v>
      </c>
      <c r="C7" s="35">
        <v>1246</v>
      </c>
      <c r="D7" s="35">
        <v>1</v>
      </c>
      <c r="E7" s="38" t="s">
        <v>62</v>
      </c>
      <c r="F7" s="51">
        <f>1/1000</f>
        <v>1E-3</v>
      </c>
      <c r="G7" s="35">
        <v>36000</v>
      </c>
      <c r="H7" s="38" t="s">
        <v>94</v>
      </c>
      <c r="I7" s="58">
        <f t="shared" si="0"/>
        <v>3.4541121204794309E-5</v>
      </c>
    </row>
    <row r="8" spans="2:9" x14ac:dyDescent="0.2">
      <c r="B8" s="10" t="s">
        <v>44</v>
      </c>
      <c r="C8" s="35">
        <v>1246</v>
      </c>
      <c r="D8" s="35">
        <v>0</v>
      </c>
      <c r="E8" s="38" t="s">
        <v>64</v>
      </c>
      <c r="F8" s="51">
        <v>0</v>
      </c>
      <c r="G8" s="35">
        <v>50000</v>
      </c>
      <c r="H8" s="38" t="s">
        <v>95</v>
      </c>
      <c r="I8" s="58">
        <f t="shared" si="0"/>
        <v>0</v>
      </c>
    </row>
    <row r="9" spans="2:9" x14ac:dyDescent="0.2">
      <c r="B9" s="37" t="s">
        <v>116</v>
      </c>
      <c r="C9" s="39">
        <v>1246</v>
      </c>
      <c r="D9" s="60" t="s">
        <v>63</v>
      </c>
      <c r="E9" s="39" t="s">
        <v>65</v>
      </c>
      <c r="F9" s="49">
        <v>0.5</v>
      </c>
      <c r="G9" s="39">
        <v>250000</v>
      </c>
      <c r="H9" s="39" t="s">
        <v>96</v>
      </c>
      <c r="I9" s="59">
        <f t="shared" si="0"/>
        <v>0.11993444862775801</v>
      </c>
    </row>
    <row r="10" spans="2:9" ht="17" thickBot="1" x14ac:dyDescent="0.25">
      <c r="H10" s="48"/>
    </row>
    <row r="11" spans="2:9" ht="17" thickBot="1" x14ac:dyDescent="0.25">
      <c r="F11" s="261" t="s">
        <v>57</v>
      </c>
      <c r="G11" s="262"/>
      <c r="H11" s="80">
        <f>SUM(I4:I9)</f>
        <v>0.18084743804031606</v>
      </c>
    </row>
  </sheetData>
  <mergeCells count="2">
    <mergeCell ref="C2:F2"/>
    <mergeCell ref="F11:G1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FF733-64EC-F843-A58C-399B9C8B575D}">
  <dimension ref="C1:N58"/>
  <sheetViews>
    <sheetView showGridLines="0" topLeftCell="A14" workbookViewId="0">
      <selection activeCell="O27" sqref="O27"/>
    </sheetView>
  </sheetViews>
  <sheetFormatPr baseColWidth="10" defaultColWidth="11" defaultRowHeight="16" x14ac:dyDescent="0.2"/>
  <cols>
    <col min="1" max="1" width="5.83203125" customWidth="1"/>
    <col min="5" max="8" width="18.33203125" bestFit="1" customWidth="1"/>
    <col min="9" max="9" width="16.5" bestFit="1" customWidth="1"/>
  </cols>
  <sheetData>
    <row r="1" ht="30" customHeight="1" x14ac:dyDescent="0.2"/>
    <row r="26" spans="13:14" x14ac:dyDescent="0.2">
      <c r="M26" s="51"/>
      <c r="N26" s="35"/>
    </row>
    <row r="36" spans="3:12" x14ac:dyDescent="0.2">
      <c r="C36" s="235" t="s">
        <v>49</v>
      </c>
      <c r="D36" s="237"/>
      <c r="H36" s="235" t="s">
        <v>52</v>
      </c>
      <c r="I36" s="237"/>
    </row>
    <row r="37" spans="3:12" x14ac:dyDescent="0.2">
      <c r="C37" s="10" t="s">
        <v>47</v>
      </c>
      <c r="D37" s="36">
        <v>0</v>
      </c>
      <c r="H37" s="10" t="s">
        <v>51</v>
      </c>
      <c r="I37" s="36" t="s">
        <v>50</v>
      </c>
    </row>
    <row r="38" spans="3:12" x14ac:dyDescent="0.2">
      <c r="C38" s="10" t="s">
        <v>48</v>
      </c>
      <c r="D38" s="36">
        <v>1</v>
      </c>
      <c r="H38" s="10">
        <v>0</v>
      </c>
      <c r="I38" s="36">
        <f t="shared" ref="I38:I58" si="0">$D$37+($D$38-$D$37)*(1/(1+EXP(-$D$39*(H38-$D$41)))^$D$40)</f>
        <v>4.5950934646538648E-2</v>
      </c>
    </row>
    <row r="39" spans="3:12" x14ac:dyDescent="0.2">
      <c r="C39" s="10" t="s">
        <v>40</v>
      </c>
      <c r="D39" s="36">
        <v>0.11</v>
      </c>
      <c r="H39" s="10">
        <v>5</v>
      </c>
      <c r="I39" s="36">
        <f t="shared" si="0"/>
        <v>5.7250790860005986E-2</v>
      </c>
    </row>
    <row r="40" spans="3:12" x14ac:dyDescent="0.2">
      <c r="C40" s="10" t="s">
        <v>41</v>
      </c>
      <c r="D40" s="36">
        <v>0.4</v>
      </c>
      <c r="H40" s="10">
        <v>10</v>
      </c>
      <c r="I40" s="36">
        <f t="shared" si="0"/>
        <v>7.1322475457251427E-2</v>
      </c>
    </row>
    <row r="41" spans="3:12" x14ac:dyDescent="0.2">
      <c r="C41" s="37" t="s">
        <v>98</v>
      </c>
      <c r="D41" s="40">
        <v>70</v>
      </c>
      <c r="H41" s="10">
        <v>15</v>
      </c>
      <c r="I41" s="36">
        <f t="shared" si="0"/>
        <v>8.8837889658515828E-2</v>
      </c>
    </row>
    <row r="42" spans="3:12" x14ac:dyDescent="0.2">
      <c r="H42" s="10">
        <v>20</v>
      </c>
      <c r="I42" s="36">
        <f t="shared" si="0"/>
        <v>0.11062254396926989</v>
      </c>
    </row>
    <row r="43" spans="3:12" x14ac:dyDescent="0.2">
      <c r="H43" s="10">
        <v>25</v>
      </c>
      <c r="I43" s="36">
        <f t="shared" si="0"/>
        <v>0.13767996575985145</v>
      </c>
    </row>
    <row r="44" spans="3:12" x14ac:dyDescent="0.2">
      <c r="H44" s="10">
        <v>30</v>
      </c>
      <c r="I44" s="36">
        <f t="shared" si="0"/>
        <v>0.17120715313049154</v>
      </c>
    </row>
    <row r="45" spans="3:12" x14ac:dyDescent="0.2">
      <c r="H45" s="10">
        <v>35</v>
      </c>
      <c r="I45" s="36">
        <f t="shared" si="0"/>
        <v>0.21258303929806019</v>
      </c>
    </row>
    <row r="46" spans="3:12" x14ac:dyDescent="0.2">
      <c r="H46" s="10">
        <v>40</v>
      </c>
      <c r="I46" s="36">
        <f t="shared" si="0"/>
        <v>0.26329302499408092</v>
      </c>
    </row>
    <row r="47" spans="3:12" x14ac:dyDescent="0.2">
      <c r="H47" s="10">
        <v>45</v>
      </c>
      <c r="I47" s="36">
        <f t="shared" si="0"/>
        <v>0.32472161413849371</v>
      </c>
    </row>
    <row r="48" spans="3:12" x14ac:dyDescent="0.2">
      <c r="H48" s="10">
        <v>50</v>
      </c>
      <c r="I48" s="36">
        <f t="shared" si="0"/>
        <v>0.39770954446155277</v>
      </c>
      <c r="K48" s="35"/>
      <c r="L48" s="35"/>
    </row>
    <row r="49" spans="8:12" x14ac:dyDescent="0.2">
      <c r="H49" s="10">
        <v>55</v>
      </c>
      <c r="I49" s="36">
        <f t="shared" si="0"/>
        <v>0.48177900064353635</v>
      </c>
      <c r="K49" s="35"/>
      <c r="L49" s="35"/>
    </row>
    <row r="50" spans="8:12" x14ac:dyDescent="0.2">
      <c r="H50" s="10">
        <v>60</v>
      </c>
      <c r="I50" s="36">
        <f t="shared" si="0"/>
        <v>0.57411007655520907</v>
      </c>
      <c r="K50" s="35"/>
      <c r="L50" s="35"/>
    </row>
    <row r="51" spans="8:12" x14ac:dyDescent="0.2">
      <c r="H51" s="10">
        <v>65</v>
      </c>
      <c r="I51" s="36">
        <f t="shared" si="0"/>
        <v>0.6688489744231213</v>
      </c>
    </row>
    <row r="52" spans="8:12" x14ac:dyDescent="0.2">
      <c r="H52" s="10">
        <v>70</v>
      </c>
      <c r="I52" s="36">
        <f t="shared" si="0"/>
        <v>0.75785828325519911</v>
      </c>
    </row>
    <row r="53" spans="8:12" x14ac:dyDescent="0.2">
      <c r="H53" s="10">
        <v>75</v>
      </c>
      <c r="I53" s="36">
        <f t="shared" si="0"/>
        <v>0.8334371433058857</v>
      </c>
    </row>
    <row r="54" spans="8:12" x14ac:dyDescent="0.2">
      <c r="H54" s="10">
        <v>80</v>
      </c>
      <c r="I54" s="36">
        <f t="shared" si="0"/>
        <v>0.89142486008736899</v>
      </c>
    </row>
    <row r="55" spans="8:12" x14ac:dyDescent="0.2">
      <c r="H55" s="10">
        <v>85</v>
      </c>
      <c r="I55" s="36">
        <f t="shared" si="0"/>
        <v>0.93214231732098562</v>
      </c>
    </row>
    <row r="56" spans="8:12" x14ac:dyDescent="0.2">
      <c r="H56" s="10">
        <v>90</v>
      </c>
      <c r="I56" s="36">
        <f t="shared" si="0"/>
        <v>0.95883782398167994</v>
      </c>
    </row>
    <row r="57" spans="8:12" x14ac:dyDescent="0.2">
      <c r="H57" s="10">
        <v>95</v>
      </c>
      <c r="I57" s="36">
        <f t="shared" si="0"/>
        <v>0.97551764043590661</v>
      </c>
    </row>
    <row r="58" spans="8:12" x14ac:dyDescent="0.2">
      <c r="H58" s="37">
        <v>100</v>
      </c>
      <c r="I58" s="40">
        <f t="shared" si="0"/>
        <v>0.98561673824652107</v>
      </c>
    </row>
  </sheetData>
  <mergeCells count="2">
    <mergeCell ref="C36:D36"/>
    <mergeCell ref="H36:I3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Input</vt:lpstr>
      <vt:lpstr>Forecast</vt:lpstr>
      <vt:lpstr>Costs and benefits</vt:lpstr>
      <vt:lpstr>Rekeying costs</vt:lpstr>
      <vt:lpstr>Financials</vt:lpstr>
      <vt:lpstr>Estimate of PID adoption</vt:lpstr>
      <vt:lpstr>Logistic function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 Jones</dc:creator>
  <cp:lastModifiedBy>Phill Jones</cp:lastModifiedBy>
  <dcterms:created xsi:type="dcterms:W3CDTF">2021-05-08T10:26:06Z</dcterms:created>
  <dcterms:modified xsi:type="dcterms:W3CDTF">2022-11-17T09:17:51Z</dcterms:modified>
</cp:coreProperties>
</file>