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335\Desktop\Revisione paper DA DCI PD_08-22\Rev 01_NS\"/>
    </mc:Choice>
  </mc:AlternateContent>
  <xr:revisionPtr revIDLastSave="0" documentId="13_ncr:1_{490CB391-DD44-4AE2-BB78-4F8FFD3219A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OSITIVI" sheetId="1" r:id="rId1"/>
    <sheet name="Analisi cinetica" sheetId="6" r:id="rId2"/>
    <sheet name="CONTROLLI" sheetId="2" r:id="rId3"/>
    <sheet name="STILI PERSONALITA" sheetId="3" r:id="rId4"/>
    <sheet name="Confronto personalità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Q37" i="2" l="1"/>
  <c r="BP37" i="2"/>
  <c r="BO37" i="2"/>
  <c r="BN37" i="2"/>
  <c r="BM35" i="2"/>
  <c r="BL37" i="2"/>
  <c r="CK47" i="1"/>
  <c r="CG47" i="1"/>
  <c r="CF15" i="1"/>
  <c r="CF47" i="1" s="1"/>
  <c r="I40" i="2" l="1"/>
  <c r="H40" i="2"/>
  <c r="G40" i="2"/>
  <c r="I49" i="1"/>
  <c r="H49" i="1"/>
  <c r="G49" i="1"/>
  <c r="F49" i="1"/>
  <c r="F40" i="2"/>
  <c r="BR38" i="1"/>
  <c r="BS5" i="1" l="1"/>
  <c r="BS6" i="1"/>
  <c r="BS7" i="1"/>
  <c r="BS8" i="1"/>
  <c r="BS9" i="1"/>
  <c r="BS4" i="1"/>
  <c r="BQ9" i="1"/>
  <c r="BQ8" i="1"/>
  <c r="BQ7" i="1"/>
  <c r="BQ6" i="1"/>
  <c r="BQ5" i="1"/>
  <c r="BQ4" i="1"/>
  <c r="BP10" i="1"/>
  <c r="K47" i="1"/>
  <c r="M38" i="2"/>
  <c r="M37" i="2"/>
  <c r="L38" i="2"/>
  <c r="L37" i="2"/>
  <c r="K38" i="2"/>
  <c r="K37" i="2"/>
  <c r="AK50" i="1"/>
  <c r="AV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L50" i="1"/>
  <c r="AM50" i="1"/>
  <c r="AN50" i="1"/>
  <c r="AO50" i="1"/>
  <c r="AP50" i="1"/>
  <c r="AQ50" i="1"/>
  <c r="AR50" i="1"/>
  <c r="AS50" i="1"/>
  <c r="AT50" i="1"/>
  <c r="AW50" i="1"/>
  <c r="AX50" i="1"/>
  <c r="AZ50" i="1"/>
  <c r="BA50" i="1"/>
  <c r="BB50" i="1"/>
  <c r="BC50" i="1"/>
  <c r="BD50" i="1"/>
  <c r="BE50" i="1"/>
  <c r="BF50" i="1"/>
  <c r="BG50" i="1"/>
  <c r="BH50" i="1"/>
  <c r="BI50" i="1"/>
  <c r="BJ50" i="1"/>
  <c r="Q50" i="1"/>
  <c r="J50" i="1"/>
  <c r="E50" i="1"/>
  <c r="AW52" i="1"/>
  <c r="AX37" i="2"/>
  <c r="AX38" i="2"/>
  <c r="C38" i="2"/>
  <c r="D38" i="2"/>
  <c r="E38" i="2"/>
  <c r="J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Z38" i="2"/>
  <c r="BA38" i="2"/>
  <c r="BB38" i="2"/>
  <c r="BC38" i="2"/>
  <c r="BD38" i="2"/>
  <c r="BE38" i="2"/>
  <c r="BF38" i="2"/>
  <c r="BG38" i="2"/>
  <c r="BH38" i="2"/>
  <c r="BI38" i="2"/>
  <c r="BJ38" i="2"/>
  <c r="B38" i="2"/>
  <c r="AV37" i="2"/>
  <c r="AY34" i="2"/>
  <c r="P37" i="2"/>
  <c r="T37" i="2"/>
  <c r="N37" i="2"/>
  <c r="O37" i="2"/>
  <c r="Q37" i="2"/>
  <c r="R37" i="2"/>
  <c r="S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W37" i="2"/>
  <c r="AZ37" i="2"/>
  <c r="BA37" i="2"/>
  <c r="BB37" i="2"/>
  <c r="BC37" i="2"/>
  <c r="BD37" i="2"/>
  <c r="BE37" i="2"/>
  <c r="BF37" i="2"/>
  <c r="BG37" i="2"/>
  <c r="BH37" i="2"/>
  <c r="BI37" i="2"/>
  <c r="BJ37" i="2"/>
  <c r="J37" i="2"/>
  <c r="E37" i="2"/>
  <c r="C37" i="2"/>
  <c r="B37" i="2"/>
  <c r="BF56" i="1"/>
  <c r="BF55" i="1"/>
  <c r="BB56" i="1"/>
  <c r="BB55" i="1"/>
  <c r="BD56" i="1"/>
  <c r="BF43" i="2"/>
  <c r="BD43" i="2"/>
  <c r="BB43" i="2"/>
  <c r="BD55" i="1"/>
  <c r="BA52" i="1"/>
  <c r="BB48" i="1"/>
  <c r="BC48" i="1"/>
  <c r="BD48" i="1"/>
  <c r="BE48" i="1"/>
  <c r="BF48" i="1"/>
  <c r="BG48" i="1"/>
  <c r="BB47" i="1"/>
  <c r="BC47" i="1"/>
  <c r="BD47" i="1"/>
  <c r="BD54" i="1" s="1"/>
  <c r="BE47" i="1"/>
  <c r="BF47" i="1"/>
  <c r="BG47" i="1"/>
  <c r="B56" i="1"/>
  <c r="G9" i="5"/>
  <c r="B55" i="1"/>
  <c r="B54" i="1"/>
  <c r="E58" i="5"/>
  <c r="D58" i="5"/>
  <c r="BD42" i="2" l="1"/>
  <c r="BF42" i="2"/>
  <c r="BB42" i="2"/>
  <c r="BB54" i="1"/>
  <c r="BF54" i="1"/>
  <c r="AF3" i="5"/>
  <c r="AF4" i="5"/>
  <c r="M5" i="5"/>
  <c r="M3" i="5"/>
  <c r="M4" i="5"/>
  <c r="R47" i="1"/>
  <c r="N47" i="1"/>
  <c r="BJ40" i="2" l="1"/>
  <c r="BJ52" i="1"/>
  <c r="AG3" i="5"/>
  <c r="B3" i="5"/>
  <c r="AA3" i="5"/>
  <c r="V4" i="5"/>
  <c r="V3" i="5"/>
  <c r="U3" i="5"/>
  <c r="T4" i="5"/>
  <c r="T3" i="5"/>
  <c r="S4" i="5"/>
  <c r="S3" i="5"/>
  <c r="N4" i="5"/>
  <c r="N3" i="5"/>
  <c r="E4" i="5"/>
  <c r="E3" i="5"/>
  <c r="H4" i="5"/>
  <c r="H3" i="5"/>
  <c r="I4" i="5"/>
  <c r="I3" i="5"/>
  <c r="J4" i="5"/>
  <c r="J3" i="5"/>
  <c r="G3" i="5"/>
  <c r="AE4" i="5"/>
  <c r="AC4" i="5"/>
  <c r="AE3" i="5"/>
  <c r="AD3" i="5"/>
  <c r="AC3" i="5"/>
  <c r="T40" i="2"/>
  <c r="AB4" i="5"/>
  <c r="AA4" i="5"/>
  <c r="R4" i="5"/>
  <c r="F4" i="5"/>
  <c r="D4" i="5"/>
  <c r="C4" i="5"/>
  <c r="B4" i="5"/>
  <c r="AB3" i="5"/>
  <c r="X3" i="5"/>
  <c r="W3" i="5"/>
  <c r="R3" i="5"/>
  <c r="Q3" i="5"/>
  <c r="F3" i="5"/>
  <c r="D3" i="5"/>
  <c r="C3" i="5"/>
  <c r="AY40" i="2"/>
  <c r="AX40" i="2"/>
  <c r="AV40" i="2"/>
  <c r="AT40" i="2"/>
  <c r="AS40" i="2"/>
  <c r="AN40" i="2"/>
  <c r="AL40" i="2"/>
  <c r="AK40" i="2"/>
  <c r="AJ40" i="2"/>
  <c r="AF40" i="2"/>
  <c r="AE40" i="2"/>
  <c r="AB40" i="2"/>
  <c r="AA40" i="2"/>
  <c r="Z40" i="2"/>
  <c r="X40" i="2"/>
  <c r="W40" i="2"/>
  <c r="V40" i="2"/>
  <c r="U40" i="2"/>
  <c r="AY52" i="1"/>
  <c r="AX52" i="1"/>
  <c r="AV52" i="1"/>
  <c r="AT52" i="1"/>
  <c r="AS52" i="1"/>
  <c r="AP52" i="1"/>
  <c r="AO52" i="1"/>
  <c r="AN52" i="1"/>
  <c r="AM52" i="1"/>
  <c r="AL52" i="1"/>
  <c r="AK52" i="1"/>
  <c r="AE52" i="1"/>
  <c r="V52" i="1"/>
  <c r="U52" i="1"/>
  <c r="T52" i="1"/>
  <c r="AJ52" i="1"/>
  <c r="AI52" i="1"/>
  <c r="AF52" i="1"/>
  <c r="AB52" i="1"/>
  <c r="AA52" i="1"/>
  <c r="Z52" i="1"/>
  <c r="Y52" i="1"/>
  <c r="X52" i="1"/>
  <c r="W52" i="1"/>
  <c r="AE48" i="1"/>
  <c r="C27" i="3"/>
  <c r="B27" i="3"/>
  <c r="E47" i="1"/>
  <c r="B47" i="1"/>
  <c r="AW48" i="1"/>
  <c r="AY32" i="2"/>
  <c r="AK47" i="1"/>
  <c r="AY31" i="2"/>
  <c r="C47" i="1" l="1"/>
  <c r="J47" i="1"/>
  <c r="P48" i="1"/>
  <c r="N48" i="1"/>
  <c r="O48" i="1"/>
  <c r="J48" i="1"/>
  <c r="K48" i="1"/>
  <c r="L48" i="1"/>
  <c r="M48" i="1"/>
  <c r="L47" i="1"/>
  <c r="M47" i="1"/>
  <c r="O47" i="1"/>
  <c r="P47" i="1"/>
  <c r="E48" i="1"/>
  <c r="AY30" i="2" l="1"/>
  <c r="BI47" i="1"/>
  <c r="AV47" i="1"/>
  <c r="B48" i="1"/>
  <c r="AX48" i="1"/>
  <c r="AZ48" i="1"/>
  <c r="BA48" i="1"/>
  <c r="BH48" i="1"/>
  <c r="BI48" i="1"/>
  <c r="BJ48" i="1"/>
  <c r="AV48" i="1"/>
  <c r="C48" i="1"/>
  <c r="D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O47" i="1"/>
  <c r="AP47" i="1"/>
  <c r="AQ47" i="1"/>
  <c r="AR47" i="1"/>
  <c r="AS47" i="1"/>
  <c r="AT47" i="1"/>
  <c r="BA47" i="1"/>
  <c r="BH47" i="1"/>
  <c r="Q47" i="1"/>
  <c r="AX47" i="1"/>
  <c r="AW47" i="1"/>
  <c r="AN47" i="1"/>
  <c r="AM47" i="1"/>
  <c r="AL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BJ47" i="1"/>
  <c r="AZ47" i="1"/>
  <c r="S47" i="1"/>
  <c r="AY5" i="2"/>
  <c r="AY6" i="2"/>
  <c r="AY7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33" i="2"/>
  <c r="AY21" i="2"/>
  <c r="AY22" i="2"/>
  <c r="AY23" i="2"/>
  <c r="AY24" i="2"/>
  <c r="AY25" i="2"/>
  <c r="AY26" i="2"/>
  <c r="AY27" i="2"/>
  <c r="AY28" i="2"/>
  <c r="AY29" i="2"/>
  <c r="AY4" i="2"/>
  <c r="AY38" i="2" l="1"/>
  <c r="AY37" i="2"/>
  <c r="AY4" i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8" i="1" l="1"/>
  <c r="AY50" i="1"/>
  <c r="AY47" i="1"/>
  <c r="AY3" i="2"/>
</calcChain>
</file>

<file path=xl/sharedStrings.xml><?xml version="1.0" encoding="utf-8"?>
<sst xmlns="http://schemas.openxmlformats.org/spreadsheetml/2006/main" count="1846" uniqueCount="329">
  <si>
    <t>positivi</t>
  </si>
  <si>
    <t>NOME</t>
  </si>
  <si>
    <t>19-BG</t>
  </si>
  <si>
    <t>APERTURA</t>
  </si>
  <si>
    <t>DESIDERABILITA'</t>
  </si>
  <si>
    <t>AUTOSVALUTAZIONE</t>
  </si>
  <si>
    <t>SCHIZOIDE</t>
  </si>
  <si>
    <t>EVITANTE</t>
  </si>
  <si>
    <t>DEPRESSIVA</t>
  </si>
  <si>
    <t>DIPENDENTE</t>
  </si>
  <si>
    <t>ISTRIONICA</t>
  </si>
  <si>
    <t>NARCISISTA</t>
  </si>
  <si>
    <t>ANTISOCIALE</t>
  </si>
  <si>
    <t>SADICA</t>
  </si>
  <si>
    <t>OSSESSIVO-COMPULSIVA</t>
  </si>
  <si>
    <t>NEGATIVISTICA</t>
  </si>
  <si>
    <t>MASOCHISTICA</t>
  </si>
  <si>
    <t>SCHIZOTIPICA</t>
  </si>
  <si>
    <t>BORDERLINE</t>
  </si>
  <si>
    <t>PARANOIDE</t>
  </si>
  <si>
    <t>ANSIA</t>
  </si>
  <si>
    <t>SOMATIZZAZIONE</t>
  </si>
  <si>
    <t>BIPOLARE:MANIA</t>
  </si>
  <si>
    <t>DISTIMIA</t>
  </si>
  <si>
    <t>DIP.ALCOL</t>
  </si>
  <si>
    <t>DIP.DROGHE</t>
  </si>
  <si>
    <t>STRESS POST-TRAUMATICO</t>
  </si>
  <si>
    <t>DIST.PENSIERO</t>
  </si>
  <si>
    <t>DEPRESSIONE MAGGIORE</t>
  </si>
  <si>
    <t>DISTURBO DELIRANTE</t>
  </si>
  <si>
    <t>03- PL</t>
  </si>
  <si>
    <t>PROFILO</t>
  </si>
  <si>
    <t>STILI PERSONALITA'</t>
  </si>
  <si>
    <t>SINDROMI CLINICHE</t>
  </si>
  <si>
    <t>SINDROMI CLINICHE GRAVI</t>
  </si>
  <si>
    <t>INDICI DI MODIFICA</t>
  </si>
  <si>
    <t>PERSONALITA' PATOLOGICA</t>
  </si>
  <si>
    <t>50-BB</t>
  </si>
  <si>
    <t>49-CA</t>
  </si>
  <si>
    <t>CONTROLLI</t>
  </si>
  <si>
    <t>48-BG</t>
  </si>
  <si>
    <t>38A0</t>
  </si>
  <si>
    <t>44-CP</t>
  </si>
  <si>
    <t>39-CM</t>
  </si>
  <si>
    <t>8A70</t>
  </si>
  <si>
    <t>38-GA</t>
  </si>
  <si>
    <t>36-CG</t>
  </si>
  <si>
    <t>738A</t>
  </si>
  <si>
    <t>35-PP</t>
  </si>
  <si>
    <t>33-TM</t>
  </si>
  <si>
    <t>31-CF</t>
  </si>
  <si>
    <t>30-CR</t>
  </si>
  <si>
    <t>27-BG</t>
  </si>
  <si>
    <t>21-MV</t>
  </si>
  <si>
    <t>75-PA</t>
  </si>
  <si>
    <t>MMSE PG</t>
  </si>
  <si>
    <t>PC</t>
  </si>
  <si>
    <t>FAB PG</t>
  </si>
  <si>
    <t>PE</t>
  </si>
  <si>
    <t>68-FO</t>
  </si>
  <si>
    <t>58A0</t>
  </si>
  <si>
    <t>16-CF</t>
  </si>
  <si>
    <t>43-MM</t>
  </si>
  <si>
    <t>65-BC</t>
  </si>
  <si>
    <t>42-SE</t>
  </si>
  <si>
    <t>17-CC</t>
  </si>
  <si>
    <t>2A38A</t>
  </si>
  <si>
    <t>06-NL</t>
  </si>
  <si>
    <t>22-AS</t>
  </si>
  <si>
    <t>18-SV</t>
  </si>
  <si>
    <t>32A0</t>
  </si>
  <si>
    <t>20-GDA</t>
  </si>
  <si>
    <t>53-FM</t>
  </si>
  <si>
    <t>52-LG</t>
  </si>
  <si>
    <t>25-GO</t>
  </si>
  <si>
    <t>54-PA</t>
  </si>
  <si>
    <t>55-SR</t>
  </si>
  <si>
    <t>05-AAR</t>
  </si>
  <si>
    <t>bis</t>
  </si>
  <si>
    <t>IA</t>
  </si>
  <si>
    <t>IM</t>
  </si>
  <si>
    <t>INP</t>
  </si>
  <si>
    <t>totale</t>
  </si>
  <si>
    <t>23-GS</t>
  </si>
  <si>
    <t>10-GD</t>
  </si>
  <si>
    <t>63-BG</t>
  </si>
  <si>
    <t>34-CG</t>
  </si>
  <si>
    <t>71-BF</t>
  </si>
  <si>
    <t>74-MV</t>
  </si>
  <si>
    <t>69-GS</t>
  </si>
  <si>
    <t>79-BG</t>
  </si>
  <si>
    <t>80-FD</t>
  </si>
  <si>
    <t>60-MS</t>
  </si>
  <si>
    <t>51-MT</t>
  </si>
  <si>
    <t>07-ML</t>
  </si>
  <si>
    <t>28-FM</t>
  </si>
  <si>
    <t>41-RAO</t>
  </si>
  <si>
    <t>32-GG</t>
  </si>
  <si>
    <t>67-BL</t>
  </si>
  <si>
    <t>04-BB</t>
  </si>
  <si>
    <t>ETA'</t>
  </si>
  <si>
    <t>SCOLARITA'</t>
  </si>
  <si>
    <t>SESSO</t>
  </si>
  <si>
    <t>DURATA MP</t>
  </si>
  <si>
    <t>D.T.LDOPA</t>
  </si>
  <si>
    <t>D.T. AD</t>
  </si>
  <si>
    <t>F</t>
  </si>
  <si>
    <t>M</t>
  </si>
  <si>
    <t>MEDIA</t>
  </si>
  <si>
    <t>MEDIE</t>
  </si>
  <si>
    <t>86-BD</t>
  </si>
  <si>
    <t>84-CO</t>
  </si>
  <si>
    <t>85-SA</t>
  </si>
  <si>
    <t>12A0</t>
  </si>
  <si>
    <t>45-AF</t>
  </si>
  <si>
    <t>87-LE</t>
  </si>
  <si>
    <t>29-TVC</t>
  </si>
  <si>
    <t>70-BG</t>
  </si>
  <si>
    <t>83-TAMA</t>
  </si>
  <si>
    <t>81-BM</t>
  </si>
  <si>
    <t>90-FG</t>
  </si>
  <si>
    <t>96-CM</t>
  </si>
  <si>
    <t>92-BM</t>
  </si>
  <si>
    <t>93-MB</t>
  </si>
  <si>
    <t>97-BV</t>
  </si>
  <si>
    <t>98-GPP</t>
  </si>
  <si>
    <t>99-AS</t>
  </si>
  <si>
    <t>101-BG</t>
  </si>
  <si>
    <t>100-MA</t>
  </si>
  <si>
    <t>72A0</t>
  </si>
  <si>
    <t>32A7</t>
  </si>
  <si>
    <t>2A31</t>
  </si>
  <si>
    <t>46A8A</t>
  </si>
  <si>
    <t>X</t>
  </si>
  <si>
    <t>Y</t>
  </si>
  <si>
    <t>Z</t>
  </si>
  <si>
    <t>2A</t>
  </si>
  <si>
    <t>2B</t>
  </si>
  <si>
    <t>6A</t>
  </si>
  <si>
    <t>6B</t>
  </si>
  <si>
    <t>8A</t>
  </si>
  <si>
    <t>8B</t>
  </si>
  <si>
    <t>C</t>
  </si>
  <si>
    <t>S</t>
  </si>
  <si>
    <t>P</t>
  </si>
  <si>
    <t>POSITIVI</t>
  </si>
  <si>
    <t>2A51</t>
  </si>
  <si>
    <t>2438A</t>
  </si>
  <si>
    <t>PERSONALITA'</t>
  </si>
  <si>
    <t>102-BC</t>
  </si>
  <si>
    <t>DS</t>
  </si>
  <si>
    <t>17 F-24 M</t>
  </si>
  <si>
    <t>40-AG</t>
  </si>
  <si>
    <t>PESO</t>
  </si>
  <si>
    <t>STATO CIVILE</t>
  </si>
  <si>
    <t>ALCOLICI</t>
  </si>
  <si>
    <t>CAFFE'</t>
  </si>
  <si>
    <t>FUMO</t>
  </si>
  <si>
    <t>L-DOPA (mg/die)</t>
  </si>
  <si>
    <t>DA (mg/die)</t>
  </si>
  <si>
    <t>H&amp;Y</t>
  </si>
  <si>
    <t>UPDRS</t>
  </si>
  <si>
    <t>LED</t>
  </si>
  <si>
    <t>TIPO DCI RIFERITO</t>
  </si>
  <si>
    <t>hobby (cucina)</t>
  </si>
  <si>
    <t>coniug</t>
  </si>
  <si>
    <t>no</t>
  </si>
  <si>
    <t>si</t>
  </si>
  <si>
    <t>sesso</t>
  </si>
  <si>
    <t>gioco, shopping</t>
  </si>
  <si>
    <t>alimentazione, shopping,gioco (senza scommettere)</t>
  </si>
  <si>
    <t>vedova</t>
  </si>
  <si>
    <t>divorziata</t>
  </si>
  <si>
    <t>alimentazione</t>
  </si>
  <si>
    <t>alimentazione, hobby (riordino)</t>
  </si>
  <si>
    <t>sesso, shopping, alimentazione, farmaci, hobby (PC)</t>
  </si>
  <si>
    <t>celibe</t>
  </si>
  <si>
    <t>gioco, shopping, alimentazione</t>
  </si>
  <si>
    <t>pramipexolo</t>
  </si>
  <si>
    <t>ropinirolo</t>
  </si>
  <si>
    <t>rotigotina</t>
  </si>
  <si>
    <t>alimentazione, shopping</t>
  </si>
  <si>
    <t>hobby (ordine), sesso, shopping</t>
  </si>
  <si>
    <t>sesso, hobby(?), alimentazione</t>
  </si>
  <si>
    <t>hobby (sport)</t>
  </si>
  <si>
    <t>gioco, hobby (?)</t>
  </si>
  <si>
    <t>shopping, generosità (?)</t>
  </si>
  <si>
    <t>gioco, alimentazione, hobby (?), ripetizione attività</t>
  </si>
  <si>
    <t>bricolage, classificazione, farmaci</t>
  </si>
  <si>
    <t>103-SS</t>
  </si>
  <si>
    <t>separata</t>
  </si>
  <si>
    <t>104-0C</t>
  </si>
  <si>
    <t>prevalenza</t>
  </si>
  <si>
    <t>PT&lt;35</t>
  </si>
  <si>
    <t>PT&gt;75</t>
  </si>
  <si>
    <t>pt&gt;77</t>
  </si>
  <si>
    <t>PT&gt;o=75</t>
  </si>
  <si>
    <t>TOT</t>
  </si>
  <si>
    <t>BIS (PT.PATOLOGICI)</t>
  </si>
  <si>
    <t>MMSE (PT&lt;23,3)</t>
  </si>
  <si>
    <t>FAB (PE=0)</t>
  </si>
  <si>
    <t>alimentazione, hobby (computer)</t>
  </si>
  <si>
    <t>sesso, hobby (?)</t>
  </si>
  <si>
    <t>sesso, alimentazione</t>
  </si>
  <si>
    <t>alimentazione, riordino abbigliamento, farmaci</t>
  </si>
  <si>
    <t>shopping, alimentazione</t>
  </si>
  <si>
    <t>sesso, gioco d'azzardo, hobby</t>
  </si>
  <si>
    <t>gioco, alimentazione, shopping</t>
  </si>
  <si>
    <t>farmaci</t>
  </si>
  <si>
    <t>gioco (cruciverba)</t>
  </si>
  <si>
    <t>sesso, hobby</t>
  </si>
  <si>
    <t>lavoro (?)</t>
  </si>
  <si>
    <t>shopping, alimentazione, ripetiz.attività motorie</t>
  </si>
  <si>
    <t>CLUSTER B</t>
  </si>
  <si>
    <t>tipi dci</t>
  </si>
  <si>
    <t>gambling</t>
  </si>
  <si>
    <t>binge eating</t>
  </si>
  <si>
    <t>shopping</t>
  </si>
  <si>
    <t>hypersexuality</t>
  </si>
  <si>
    <t>hobby</t>
  </si>
  <si>
    <t>abuso farmaci</t>
  </si>
  <si>
    <t>percen</t>
  </si>
  <si>
    <t>desiderabilità*sc.istrionica</t>
  </si>
  <si>
    <t>CLUSTER A</t>
  </si>
  <si>
    <t>CLUSTER C</t>
  </si>
  <si>
    <t>FAB</t>
  </si>
  <si>
    <t>concettalizzazione</t>
  </si>
  <si>
    <t>flessibilità mentale</t>
  </si>
  <si>
    <t>programmazione</t>
  </si>
  <si>
    <t>sensibilità all'interferenza</t>
  </si>
  <si>
    <t>controllo inibitorio</t>
  </si>
  <si>
    <t>autonomia ambientale</t>
  </si>
  <si>
    <t>FAB1</t>
  </si>
  <si>
    <t>FAB2</t>
  </si>
  <si>
    <t>FAB3</t>
  </si>
  <si>
    <t>FAB 1</t>
  </si>
  <si>
    <t>FAB 2</t>
  </si>
  <si>
    <t>FAB 3</t>
  </si>
  <si>
    <t>T TEST</t>
  </si>
  <si>
    <t>105-TE</t>
  </si>
  <si>
    <t>11 F-19 M</t>
  </si>
  <si>
    <t>8 si-23 no</t>
  </si>
  <si>
    <t>15 si- 16 no</t>
  </si>
  <si>
    <t>5 si-26 no</t>
  </si>
  <si>
    <t>incidenza</t>
  </si>
  <si>
    <t>vagare- guidare senza meta precisa</t>
  </si>
  <si>
    <t>QUIP NEGATIVA</t>
  </si>
  <si>
    <t>QUIP POSITIVA</t>
  </si>
  <si>
    <t>PAZIENTI RECLUTATI</t>
  </si>
  <si>
    <t>34 coniug- 7 no</t>
  </si>
  <si>
    <t>29 coniug- 2 no</t>
  </si>
  <si>
    <t>13 si-27 no</t>
  </si>
  <si>
    <t>30 si -10 no</t>
  </si>
  <si>
    <t>35 no- 6 si</t>
  </si>
  <si>
    <t>pramipexolo ng/mL</t>
  </si>
  <si>
    <t>ropinirolo ng/mL</t>
  </si>
  <si>
    <t>rotigotina ng/mL</t>
  </si>
  <si>
    <t>8</t>
  </si>
  <si>
    <t>4</t>
  </si>
  <si>
    <t>mancante</t>
  </si>
  <si>
    <t>pramipexolo (mg/d)</t>
  </si>
  <si>
    <t>ropinirolo (mg/d)</t>
  </si>
  <si>
    <t>rotigotina (mg/d)</t>
  </si>
  <si>
    <t>01-AC</t>
  </si>
  <si>
    <t>N</t>
  </si>
  <si>
    <t>RP</t>
  </si>
  <si>
    <t>--</t>
  </si>
  <si>
    <t>02-RG</t>
  </si>
  <si>
    <t>STD</t>
  </si>
  <si>
    <t>03-PL</t>
  </si>
  <si>
    <t>08-FF</t>
  </si>
  <si>
    <t>09-RR</t>
  </si>
  <si>
    <t>11-RS</t>
  </si>
  <si>
    <t>12-ZB</t>
  </si>
  <si>
    <t>13-CG</t>
  </si>
  <si>
    <t>14-BR</t>
  </si>
  <si>
    <t>15-BE</t>
  </si>
  <si>
    <t>24-FL</t>
  </si>
  <si>
    <t>26-MV</t>
  </si>
  <si>
    <t>STD+RP</t>
  </si>
  <si>
    <t>37-AL</t>
  </si>
  <si>
    <t>44-CPP</t>
  </si>
  <si>
    <t>46-MC</t>
  </si>
  <si>
    <t>47-BM</t>
  </si>
  <si>
    <t>56-PML</t>
  </si>
  <si>
    <t>57-SL</t>
  </si>
  <si>
    <t>58-PO</t>
  </si>
  <si>
    <t>59-GM</t>
  </si>
  <si>
    <t>61-ZP</t>
  </si>
  <si>
    <t>62-PG</t>
  </si>
  <si>
    <t>64 - TW</t>
  </si>
  <si>
    <t>66-FR</t>
  </si>
  <si>
    <t>68 - FO</t>
  </si>
  <si>
    <t xml:space="preserve"> </t>
  </si>
  <si>
    <t>72-EMN</t>
  </si>
  <si>
    <t>73-BP</t>
  </si>
  <si>
    <t>76-CD</t>
  </si>
  <si>
    <t>77-AD</t>
  </si>
  <si>
    <t>78-SG</t>
  </si>
  <si>
    <t>82-DAV</t>
  </si>
  <si>
    <t>87 - LE</t>
  </si>
  <si>
    <t>RP+STD</t>
  </si>
  <si>
    <t>88-GG</t>
  </si>
  <si>
    <t>89-NP</t>
  </si>
  <si>
    <t>91-CR</t>
  </si>
  <si>
    <t>94-MF</t>
  </si>
  <si>
    <t>95-CO</t>
  </si>
  <si>
    <t>98 - GPP</t>
  </si>
  <si>
    <t>104-OC</t>
  </si>
  <si>
    <t>N° arch</t>
  </si>
  <si>
    <t>P/N</t>
  </si>
  <si>
    <t>Agonista</t>
  </si>
  <si>
    <t>STD/RP</t>
  </si>
  <si>
    <t>PRA (ng/ml)</t>
  </si>
  <si>
    <t>ROP (ng/ml)</t>
  </si>
  <si>
    <t>ROT (ng/ml)</t>
  </si>
  <si>
    <t>PRA (mg/d)</t>
  </si>
  <si>
    <t>ROP (mg/d)</t>
  </si>
  <si>
    <t>ROT (mg/d)</t>
  </si>
  <si>
    <t>Peso (kg)</t>
  </si>
  <si>
    <t>PRA (C/D)</t>
  </si>
  <si>
    <t>ROP (C/D)</t>
  </si>
  <si>
    <t>ROT (C/D)</t>
  </si>
  <si>
    <t>PRA (mg/kg)</t>
  </si>
  <si>
    <t>ROP (mg/kg)</t>
  </si>
  <si>
    <t>ROT (mg/kg)</t>
  </si>
  <si>
    <t>PRA N/P</t>
  </si>
  <si>
    <t>ROT N/P</t>
  </si>
  <si>
    <t>ROP N/P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</si>
</sst>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 (Corpo)"/>
    </font>
    <font>
      <sz val="12"/>
      <color theme="4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1" fillId="3" borderId="0" xfId="0" applyFont="1" applyFill="1"/>
    <xf numFmtId="0" fontId="2" fillId="3" borderId="0" xfId="0" applyFont="1" applyFill="1"/>
    <xf numFmtId="0" fontId="3" fillId="0" borderId="0" xfId="0" applyFon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1" fillId="2" borderId="0" xfId="0" applyFont="1" applyFill="1"/>
    <xf numFmtId="0" fontId="1" fillId="15" borderId="0" xfId="0" applyFont="1" applyFill="1"/>
    <xf numFmtId="0" fontId="1" fillId="6" borderId="0" xfId="0" applyFont="1" applyFill="1"/>
    <xf numFmtId="0" fontId="0" fillId="0" borderId="1" xfId="0" applyBorder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2" fillId="0" borderId="0" xfId="0" applyFont="1"/>
    <xf numFmtId="0" fontId="1" fillId="20" borderId="0" xfId="0" applyFont="1" applyFill="1"/>
    <xf numFmtId="0" fontId="4" fillId="0" borderId="0" xfId="0" applyFont="1"/>
    <xf numFmtId="49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0" fontId="0" fillId="7" borderId="0" xfId="0" applyFill="1" applyAlignment="1">
      <alignment horizontal="right"/>
    </xf>
    <xf numFmtId="49" fontId="0" fillId="7" borderId="0" xfId="0" applyNumberForma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11" fontId="0" fillId="0" borderId="0" xfId="0" applyNumberFormat="1"/>
    <xf numFmtId="0" fontId="5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DCI</a:t>
            </a:r>
          </a:p>
          <a:p>
            <a:pPr>
              <a:defRPr/>
            </a:pP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3E4-A54A-96B7-F6F6197825F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3E4-A54A-96B7-F6F6197825F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33E4-A54A-96B7-F6F6197825F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3E4-A54A-96B7-F6F6197825F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33E4-A54A-96B7-F6F6197825F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3E4-A54A-96B7-F6F6197825F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33E4-A54A-96B7-F6F6197825F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3E4-A54A-96B7-F6F6197825F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33E4-A54A-96B7-F6F6197825FE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3E4-A54A-96B7-F6F6197825FE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33E4-A54A-96B7-F6F6197825F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3E4-A54A-96B7-F6F6197825FE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POSITIVI!$BO$4:$BO$9</c:f>
              <c:strCache>
                <c:ptCount val="6"/>
                <c:pt idx="0">
                  <c:v>gambling</c:v>
                </c:pt>
                <c:pt idx="1">
                  <c:v>binge eating</c:v>
                </c:pt>
                <c:pt idx="2">
                  <c:v>shopping</c:v>
                </c:pt>
                <c:pt idx="3">
                  <c:v>hypersexuality</c:v>
                </c:pt>
                <c:pt idx="4">
                  <c:v>hobby</c:v>
                </c:pt>
                <c:pt idx="5">
                  <c:v>abuso farmaci</c:v>
                </c:pt>
              </c:strCache>
            </c:strRef>
          </c:cat>
          <c:val>
            <c:numRef>
              <c:f>POSITIVI!$BP$4:$BP$9</c:f>
              <c:numCache>
                <c:formatCode>General</c:formatCode>
                <c:ptCount val="6"/>
                <c:pt idx="0">
                  <c:v>9</c:v>
                </c:pt>
                <c:pt idx="1">
                  <c:v>19</c:v>
                </c:pt>
                <c:pt idx="2">
                  <c:v>13</c:v>
                </c:pt>
                <c:pt idx="3">
                  <c:v>11</c:v>
                </c:pt>
                <c:pt idx="4">
                  <c:v>19</c:v>
                </c:pt>
                <c:pt idx="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4-A54A-96B7-F6F6197825FE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DIFFERENZE DCI maschi-femmine</a:t>
            </a:r>
          </a:p>
        </c:rich>
      </c:tx>
      <c:layout>
        <c:manualLayout>
          <c:xMode val="edge"/>
          <c:yMode val="edge"/>
          <c:x val="0.19494794968810714"/>
          <c:y val="2.5210084033613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6.2381838633807127E-2"/>
          <c:y val="0.18289915966386555"/>
          <c:w val="0.90918192044176294"/>
          <c:h val="0.6403774895785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POSITIVI!$BS$3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POSITIVI!$BR$4:$BR$9</c:f>
              <c:strCache>
                <c:ptCount val="6"/>
                <c:pt idx="0">
                  <c:v>gambling</c:v>
                </c:pt>
                <c:pt idx="1">
                  <c:v>binge eating</c:v>
                </c:pt>
                <c:pt idx="2">
                  <c:v>shopping</c:v>
                </c:pt>
                <c:pt idx="3">
                  <c:v>hypersexuality</c:v>
                </c:pt>
                <c:pt idx="4">
                  <c:v>hobby</c:v>
                </c:pt>
                <c:pt idx="5">
                  <c:v>abuso farmaci</c:v>
                </c:pt>
              </c:strCache>
            </c:strRef>
          </c:cat>
          <c:val>
            <c:numRef>
              <c:f>POSITIVI!$BS$4:$BS$9</c:f>
              <c:numCache>
                <c:formatCode>General</c:formatCode>
                <c:ptCount val="6"/>
                <c:pt idx="0">
                  <c:v>6</c:v>
                </c:pt>
                <c:pt idx="1">
                  <c:v>11</c:v>
                </c:pt>
                <c:pt idx="2">
                  <c:v>5</c:v>
                </c:pt>
                <c:pt idx="3">
                  <c:v>10</c:v>
                </c:pt>
                <c:pt idx="4">
                  <c:v>8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9F-8142-8AD0-D7D03376A339}"/>
            </c:ext>
          </c:extLst>
        </c:ser>
        <c:ser>
          <c:idx val="1"/>
          <c:order val="1"/>
          <c:tx>
            <c:strRef>
              <c:f>POSITIVI!$BT$3</c:f>
              <c:strCache>
                <c:ptCount val="1"/>
                <c:pt idx="0">
                  <c:v>F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POSITIVI!$BR$4:$BR$9</c:f>
              <c:strCache>
                <c:ptCount val="6"/>
                <c:pt idx="0">
                  <c:v>gambling</c:v>
                </c:pt>
                <c:pt idx="1">
                  <c:v>binge eating</c:v>
                </c:pt>
                <c:pt idx="2">
                  <c:v>shopping</c:v>
                </c:pt>
                <c:pt idx="3">
                  <c:v>hypersexuality</c:v>
                </c:pt>
                <c:pt idx="4">
                  <c:v>hobby</c:v>
                </c:pt>
                <c:pt idx="5">
                  <c:v>abuso farmaci</c:v>
                </c:pt>
              </c:strCache>
            </c:strRef>
          </c:cat>
          <c:val>
            <c:numRef>
              <c:f>POSITIVI!$BT$4:$BT$9</c:f>
              <c:numCache>
                <c:formatCode>General</c:formatCode>
                <c:ptCount val="6"/>
                <c:pt idx="0">
                  <c:v>3</c:v>
                </c:pt>
                <c:pt idx="1">
                  <c:v>8</c:v>
                </c:pt>
                <c:pt idx="2">
                  <c:v>8</c:v>
                </c:pt>
                <c:pt idx="3">
                  <c:v>1</c:v>
                </c:pt>
                <c:pt idx="4">
                  <c:v>11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9F-8142-8AD0-D7D03376A33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682823712"/>
        <c:axId val="682824104"/>
      </c:barChart>
      <c:catAx>
        <c:axId val="68282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2824104"/>
        <c:crosses val="autoZero"/>
        <c:auto val="1"/>
        <c:lblAlgn val="ctr"/>
        <c:lblOffset val="100"/>
        <c:noMultiLvlLbl val="0"/>
      </c:catAx>
      <c:valAx>
        <c:axId val="68282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2823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POSITIVI!$BR$35</c:f>
              <c:strCache>
                <c:ptCount val="1"/>
                <c:pt idx="0">
                  <c:v>PAZIENTI RECLUTATI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657-6A48-B856-6AFD7F2586B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657-6A48-B856-6AFD7F2586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POSITIVI!$BQ$36:$BQ$37</c:f>
              <c:strCache>
                <c:ptCount val="2"/>
                <c:pt idx="0">
                  <c:v>QUIP POSITIVA</c:v>
                </c:pt>
                <c:pt idx="1">
                  <c:v>QUIP NEGATIVA</c:v>
                </c:pt>
              </c:strCache>
            </c:strRef>
          </c:cat>
          <c:val>
            <c:numRef>
              <c:f>POSITIVI!$BR$36:$BR$37</c:f>
              <c:numCache>
                <c:formatCode>General</c:formatCode>
                <c:ptCount val="2"/>
                <c:pt idx="0">
                  <c:v>41</c:v>
                </c:pt>
                <c:pt idx="1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F4-2648-BAF0-F5030CB88052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STILI DI PERSONALITA' MCMI-III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'STILI PERSONALITA'!$B$3</c:f>
              <c:strCache>
                <c:ptCount val="1"/>
                <c:pt idx="0">
                  <c:v>POSITIVI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'STILI PERSONALITA'!$A$4:$A$26</c:f>
              <c:strCache>
                <c:ptCount val="23"/>
                <c:pt idx="0">
                  <c:v>400</c:v>
                </c:pt>
                <c:pt idx="1">
                  <c:v>100</c:v>
                </c:pt>
                <c:pt idx="2">
                  <c:v>700</c:v>
                </c:pt>
                <c:pt idx="3">
                  <c:v>38A0</c:v>
                </c:pt>
                <c:pt idx="4">
                  <c:v>750</c:v>
                </c:pt>
                <c:pt idx="5">
                  <c:v>8A70</c:v>
                </c:pt>
                <c:pt idx="6">
                  <c:v>738A</c:v>
                </c:pt>
                <c:pt idx="7">
                  <c:v>500</c:v>
                </c:pt>
                <c:pt idx="8">
                  <c:v>470</c:v>
                </c:pt>
                <c:pt idx="9">
                  <c:v>300</c:v>
                </c:pt>
                <c:pt idx="10">
                  <c:v>58A0</c:v>
                </c:pt>
                <c:pt idx="11">
                  <c:v>72A0</c:v>
                </c:pt>
                <c:pt idx="12">
                  <c:v>2A51</c:v>
                </c:pt>
                <c:pt idx="13">
                  <c:v>740</c:v>
                </c:pt>
                <c:pt idx="14">
                  <c:v>12A0</c:v>
                </c:pt>
                <c:pt idx="15">
                  <c:v>46A8A</c:v>
                </c:pt>
                <c:pt idx="16">
                  <c:v>540</c:v>
                </c:pt>
                <c:pt idx="17">
                  <c:v>450</c:v>
                </c:pt>
                <c:pt idx="18">
                  <c:v>2438A</c:v>
                </c:pt>
                <c:pt idx="19">
                  <c:v>32A0</c:v>
                </c:pt>
                <c:pt idx="20">
                  <c:v>2400</c:v>
                </c:pt>
                <c:pt idx="21">
                  <c:v>32A7</c:v>
                </c:pt>
                <c:pt idx="22">
                  <c:v>0</c:v>
                </c:pt>
              </c:strCache>
            </c:strRef>
          </c:cat>
          <c:val>
            <c:numRef>
              <c:f>'STILI PERSONALITA'!$B$4:$B$26</c:f>
              <c:numCache>
                <c:formatCode>General</c:formatCode>
                <c:ptCount val="23"/>
                <c:pt idx="0">
                  <c:v>3</c:v>
                </c:pt>
                <c:pt idx="1">
                  <c:v>1</c:v>
                </c:pt>
                <c:pt idx="2">
                  <c:v>10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3A-F14B-95C0-CFBB652A5898}"/>
            </c:ext>
          </c:extLst>
        </c:ser>
        <c:ser>
          <c:idx val="1"/>
          <c:order val="1"/>
          <c:tx>
            <c:strRef>
              <c:f>'STILI PERSONALITA'!$C$3</c:f>
              <c:strCache>
                <c:ptCount val="1"/>
                <c:pt idx="0">
                  <c:v>CONTROLLI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'STILI PERSONALITA'!$A$4:$A$26</c:f>
              <c:strCache>
                <c:ptCount val="23"/>
                <c:pt idx="0">
                  <c:v>400</c:v>
                </c:pt>
                <c:pt idx="1">
                  <c:v>100</c:v>
                </c:pt>
                <c:pt idx="2">
                  <c:v>700</c:v>
                </c:pt>
                <c:pt idx="3">
                  <c:v>38A0</c:v>
                </c:pt>
                <c:pt idx="4">
                  <c:v>750</c:v>
                </c:pt>
                <c:pt idx="5">
                  <c:v>8A70</c:v>
                </c:pt>
                <c:pt idx="6">
                  <c:v>738A</c:v>
                </c:pt>
                <c:pt idx="7">
                  <c:v>500</c:v>
                </c:pt>
                <c:pt idx="8">
                  <c:v>470</c:v>
                </c:pt>
                <c:pt idx="9">
                  <c:v>300</c:v>
                </c:pt>
                <c:pt idx="10">
                  <c:v>58A0</c:v>
                </c:pt>
                <c:pt idx="11">
                  <c:v>72A0</c:v>
                </c:pt>
                <c:pt idx="12">
                  <c:v>2A51</c:v>
                </c:pt>
                <c:pt idx="13">
                  <c:v>740</c:v>
                </c:pt>
                <c:pt idx="14">
                  <c:v>12A0</c:v>
                </c:pt>
                <c:pt idx="15">
                  <c:v>46A8A</c:v>
                </c:pt>
                <c:pt idx="16">
                  <c:v>540</c:v>
                </c:pt>
                <c:pt idx="17">
                  <c:v>450</c:v>
                </c:pt>
                <c:pt idx="18">
                  <c:v>2438A</c:v>
                </c:pt>
                <c:pt idx="19">
                  <c:v>32A0</c:v>
                </c:pt>
                <c:pt idx="20">
                  <c:v>2400</c:v>
                </c:pt>
                <c:pt idx="21">
                  <c:v>32A7</c:v>
                </c:pt>
                <c:pt idx="22">
                  <c:v>0</c:v>
                </c:pt>
              </c:strCache>
            </c:strRef>
          </c:cat>
          <c:val>
            <c:numRef>
              <c:f>'STILI PERSONALITA'!$C$4:$C$26</c:f>
              <c:numCache>
                <c:formatCode>General</c:formatCode>
                <c:ptCount val="23"/>
                <c:pt idx="0">
                  <c:v>1</c:v>
                </c:pt>
                <c:pt idx="1">
                  <c:v>0</c:v>
                </c:pt>
                <c:pt idx="2">
                  <c:v>11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3A-F14B-95C0-CFBB652A58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0327496"/>
        <c:axId val="30327888"/>
      </c:barChart>
      <c:catAx>
        <c:axId val="30327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327888"/>
        <c:crosses val="autoZero"/>
        <c:auto val="1"/>
        <c:lblAlgn val="ctr"/>
        <c:lblOffset val="100"/>
        <c:noMultiLvlLbl val="0"/>
      </c:catAx>
      <c:valAx>
        <c:axId val="303278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0327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68</xdr:col>
      <xdr:colOff>76200</xdr:colOff>
      <xdr:row>10</xdr:row>
      <xdr:rowOff>84666</xdr:rowOff>
    </xdr:from>
    <xdr:to>
      <xdr:col>74</xdr:col>
      <xdr:colOff>618066</xdr:colOff>
      <xdr:row>30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AA83052-8ABA-354E-8FCF-CEAAE161F5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75</xdr:col>
      <xdr:colOff>486834</xdr:colOff>
      <xdr:row>10</xdr:row>
      <xdr:rowOff>135467</xdr:rowOff>
    </xdr:from>
    <xdr:to>
      <xdr:col>81</xdr:col>
      <xdr:colOff>558800</xdr:colOff>
      <xdr:row>26</xdr:row>
      <xdr:rowOff>118533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1FB0EB5-2365-B04D-85A3-1B76F2986D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71</xdr:col>
      <xdr:colOff>563032</xdr:colOff>
      <xdr:row>33</xdr:row>
      <xdr:rowOff>160866</xdr:rowOff>
    </xdr:from>
    <xdr:to>
      <xdr:col>77</xdr:col>
      <xdr:colOff>745066</xdr:colOff>
      <xdr:row>50</xdr:row>
      <xdr:rowOff>194733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87DCEF7-4506-F449-A0AD-98D988E816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3</xdr:row>
      <xdr:rowOff>19050</xdr:rowOff>
    </xdr:from>
    <xdr:to>
      <xdr:col>16</xdr:col>
      <xdr:colOff>546100</xdr:colOff>
      <xdr:row>34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7EC4C98-170C-F546-97DD-BC0DF2C87F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0"/>
  <sheetViews>
    <sheetView zoomScaleNormal="100" workbookViewId="0">
      <pane xSplit="1" topLeftCell="BU1" activePane="topRight" state="frozen"/>
      <selection pane="topRight" sqref="A1:CF1048576"/>
    </sheetView>
  </sheetViews>
  <sheetFormatPr defaultColWidth="11" defaultRowHeight="15.5"/>
  <cols>
    <col min="2" max="4" width="10.83203125" style="2"/>
    <col min="5" max="5" width="10.83203125" style="3"/>
    <col min="6" max="6" width="25.08203125" style="3" customWidth="1"/>
    <col min="7" max="7" width="10.83203125" style="3"/>
    <col min="8" max="8" width="15.83203125" style="3" customWidth="1"/>
    <col min="9" max="17" width="10.83203125" style="3"/>
    <col min="18" max="20" width="10.83203125" style="4"/>
    <col min="21" max="27" width="10.83203125" style="5"/>
    <col min="28" max="29" width="10.83203125" style="6"/>
    <col min="30" max="30" width="16.83203125" style="6" customWidth="1"/>
    <col min="31" max="31" width="10.83203125" style="7"/>
    <col min="34" max="34" width="14.5" customWidth="1"/>
    <col min="36" max="36" width="12.83203125" customWidth="1"/>
    <col min="63" max="63" width="23.83203125" style="16" customWidth="1"/>
    <col min="84" max="84" width="16.75" bestFit="1" customWidth="1"/>
    <col min="85" max="85" width="18.75" customWidth="1"/>
    <col min="86" max="86" width="14.5" bestFit="1" customWidth="1"/>
    <col min="87" max="87" width="17" style="33" customWidth="1"/>
    <col min="88" max="88" width="14.75" bestFit="1" customWidth="1"/>
  </cols>
  <sheetData>
    <row r="1" spans="1:89"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 t="s">
        <v>35</v>
      </c>
      <c r="U1"/>
      <c r="V1"/>
      <c r="W1" t="s">
        <v>32</v>
      </c>
      <c r="X1"/>
      <c r="Y1"/>
      <c r="Z1"/>
      <c r="AA1"/>
      <c r="AB1"/>
      <c r="AC1"/>
      <c r="AD1"/>
      <c r="AE1"/>
      <c r="AH1" t="s">
        <v>36</v>
      </c>
      <c r="AK1" t="s">
        <v>33</v>
      </c>
      <c r="AR1" t="s">
        <v>34</v>
      </c>
      <c r="AV1" s="11" t="s">
        <v>78</v>
      </c>
    </row>
    <row r="2" spans="1:89">
      <c r="A2" s="1" t="s">
        <v>0</v>
      </c>
      <c r="B2"/>
      <c r="C2"/>
      <c r="D2"/>
      <c r="E2"/>
      <c r="F2"/>
      <c r="G2"/>
      <c r="H2"/>
      <c r="I2"/>
      <c r="J2"/>
      <c r="K2" t="s">
        <v>159</v>
      </c>
      <c r="L2"/>
      <c r="M2"/>
      <c r="N2"/>
      <c r="O2"/>
      <c r="P2"/>
      <c r="Q2"/>
      <c r="R2"/>
      <c r="S2"/>
      <c r="T2" s="3" t="s">
        <v>133</v>
      </c>
      <c r="U2" t="s">
        <v>134</v>
      </c>
      <c r="V2" t="s">
        <v>135</v>
      </c>
      <c r="W2">
        <v>1</v>
      </c>
      <c r="X2" t="s">
        <v>136</v>
      </c>
      <c r="Y2" t="s">
        <v>137</v>
      </c>
      <c r="Z2">
        <v>3</v>
      </c>
      <c r="AA2">
        <v>4</v>
      </c>
      <c r="AB2">
        <v>5</v>
      </c>
      <c r="AC2" t="s">
        <v>138</v>
      </c>
      <c r="AD2" t="s">
        <v>139</v>
      </c>
      <c r="AE2">
        <v>7</v>
      </c>
      <c r="AF2" t="s">
        <v>140</v>
      </c>
      <c r="AG2" t="s">
        <v>141</v>
      </c>
      <c r="AH2" s="5"/>
      <c r="AK2" s="5"/>
      <c r="AV2" t="s">
        <v>79</v>
      </c>
      <c r="AW2" t="s">
        <v>80</v>
      </c>
      <c r="AX2" t="s">
        <v>81</v>
      </c>
      <c r="AY2" t="s">
        <v>82</v>
      </c>
      <c r="AZ2" t="s">
        <v>55</v>
      </c>
      <c r="BA2" t="s">
        <v>56</v>
      </c>
      <c r="BB2" t="s">
        <v>225</v>
      </c>
      <c r="BH2" t="s">
        <v>57</v>
      </c>
      <c r="BI2" t="s">
        <v>56</v>
      </c>
      <c r="BJ2" t="s">
        <v>58</v>
      </c>
      <c r="BK2" s="16" t="s">
        <v>163</v>
      </c>
      <c r="BO2" t="s">
        <v>214</v>
      </c>
      <c r="CE2" s="1" t="s">
        <v>0</v>
      </c>
    </row>
    <row r="3" spans="1:89">
      <c r="A3" t="s">
        <v>1</v>
      </c>
      <c r="B3" t="s">
        <v>100</v>
      </c>
      <c r="C3" t="s">
        <v>101</v>
      </c>
      <c r="D3" t="s">
        <v>102</v>
      </c>
      <c r="E3" t="s">
        <v>153</v>
      </c>
      <c r="F3" t="s">
        <v>154</v>
      </c>
      <c r="G3" t="s">
        <v>155</v>
      </c>
      <c r="H3" t="s">
        <v>156</v>
      </c>
      <c r="I3" t="s">
        <v>157</v>
      </c>
      <c r="J3" t="s">
        <v>158</v>
      </c>
      <c r="K3" s="12" t="s">
        <v>178</v>
      </c>
      <c r="L3" s="17" t="s">
        <v>179</v>
      </c>
      <c r="M3" s="22" t="s">
        <v>180</v>
      </c>
      <c r="N3" t="s">
        <v>160</v>
      </c>
      <c r="O3" t="s">
        <v>161</v>
      </c>
      <c r="P3" t="s">
        <v>162</v>
      </c>
      <c r="Q3" t="s">
        <v>103</v>
      </c>
      <c r="R3" t="s">
        <v>105</v>
      </c>
      <c r="S3" t="s">
        <v>104</v>
      </c>
      <c r="T3" s="2" t="s">
        <v>3</v>
      </c>
      <c r="U3" s="2" t="s">
        <v>4</v>
      </c>
      <c r="V3" s="2" t="s">
        <v>5</v>
      </c>
      <c r="W3" s="3" t="s">
        <v>6</v>
      </c>
      <c r="X3" s="3" t="s">
        <v>7</v>
      </c>
      <c r="Y3" s="3" t="s">
        <v>8</v>
      </c>
      <c r="Z3" s="3" t="s">
        <v>9</v>
      </c>
      <c r="AA3" s="3" t="s">
        <v>10</v>
      </c>
      <c r="AB3" s="3" t="s">
        <v>11</v>
      </c>
      <c r="AC3" s="3" t="s">
        <v>12</v>
      </c>
      <c r="AD3" s="3" t="s">
        <v>13</v>
      </c>
      <c r="AE3" s="3" t="s">
        <v>14</v>
      </c>
      <c r="AF3" s="3" t="s">
        <v>15</v>
      </c>
      <c r="AG3" s="3" t="s">
        <v>16</v>
      </c>
      <c r="AH3" s="4" t="s">
        <v>17</v>
      </c>
      <c r="AI3" s="4" t="s">
        <v>18</v>
      </c>
      <c r="AJ3" s="4" t="s">
        <v>19</v>
      </c>
      <c r="AK3" s="5" t="s">
        <v>20</v>
      </c>
      <c r="AL3" s="5" t="s">
        <v>21</v>
      </c>
      <c r="AM3" s="5" t="s">
        <v>22</v>
      </c>
      <c r="AN3" s="5" t="s">
        <v>23</v>
      </c>
      <c r="AO3" s="5" t="s">
        <v>24</v>
      </c>
      <c r="AP3" s="5" t="s">
        <v>25</v>
      </c>
      <c r="AQ3" s="5" t="s">
        <v>26</v>
      </c>
      <c r="AR3" s="6" t="s">
        <v>27</v>
      </c>
      <c r="AS3" s="6" t="s">
        <v>28</v>
      </c>
      <c r="AT3" s="6" t="s">
        <v>29</v>
      </c>
      <c r="AU3" s="7" t="s">
        <v>31</v>
      </c>
      <c r="BB3" t="s">
        <v>226</v>
      </c>
      <c r="BC3" t="s">
        <v>227</v>
      </c>
      <c r="BD3" t="s">
        <v>228</v>
      </c>
      <c r="BE3" t="s">
        <v>229</v>
      </c>
      <c r="BF3" t="s">
        <v>230</v>
      </c>
      <c r="BG3" t="s">
        <v>231</v>
      </c>
      <c r="BQ3" t="s">
        <v>221</v>
      </c>
      <c r="BS3" t="s">
        <v>107</v>
      </c>
      <c r="BT3" t="s">
        <v>106</v>
      </c>
      <c r="CE3" t="s">
        <v>1</v>
      </c>
      <c r="CF3" t="s">
        <v>254</v>
      </c>
      <c r="CG3" t="s">
        <v>260</v>
      </c>
      <c r="CH3" t="s">
        <v>255</v>
      </c>
      <c r="CI3" s="34" t="s">
        <v>261</v>
      </c>
      <c r="CJ3" t="s">
        <v>256</v>
      </c>
      <c r="CK3" t="s">
        <v>180</v>
      </c>
    </row>
    <row r="4" spans="1:89">
      <c r="A4" s="13" t="s">
        <v>2</v>
      </c>
      <c r="B4">
        <v>74</v>
      </c>
      <c r="C4">
        <v>5</v>
      </c>
      <c r="D4" t="s">
        <v>106</v>
      </c>
      <c r="E4">
        <v>55</v>
      </c>
      <c r="F4" t="s">
        <v>165</v>
      </c>
      <c r="G4" t="s">
        <v>166</v>
      </c>
      <c r="H4" t="s">
        <v>167</v>
      </c>
      <c r="I4" t="s">
        <v>166</v>
      </c>
      <c r="J4">
        <v>1000</v>
      </c>
      <c r="K4">
        <v>2.1</v>
      </c>
      <c r="L4">
        <v>8</v>
      </c>
      <c r="M4"/>
      <c r="N4">
        <v>2</v>
      </c>
      <c r="O4">
        <v>32</v>
      </c>
      <c r="P4">
        <v>1370</v>
      </c>
      <c r="Q4">
        <v>8</v>
      </c>
      <c r="R4">
        <v>7</v>
      </c>
      <c r="S4">
        <v>8</v>
      </c>
      <c r="T4" s="2">
        <v>45</v>
      </c>
      <c r="U4" s="2">
        <v>59</v>
      </c>
      <c r="V4" s="2">
        <v>45</v>
      </c>
      <c r="W4" s="3">
        <v>63</v>
      </c>
      <c r="X4" s="3">
        <v>42</v>
      </c>
      <c r="Y4" s="3">
        <v>20</v>
      </c>
      <c r="Z4" s="3">
        <v>34</v>
      </c>
      <c r="AA4" s="8">
        <v>79</v>
      </c>
      <c r="AB4" s="3">
        <v>55</v>
      </c>
      <c r="AC4" s="3">
        <v>61</v>
      </c>
      <c r="AD4" s="3">
        <v>20</v>
      </c>
      <c r="AE4" s="3">
        <v>46</v>
      </c>
      <c r="AF4" s="3">
        <v>30</v>
      </c>
      <c r="AG4" s="3">
        <v>30</v>
      </c>
      <c r="AH4" s="4">
        <v>62</v>
      </c>
      <c r="AI4" s="4">
        <v>15</v>
      </c>
      <c r="AJ4" s="4">
        <v>48</v>
      </c>
      <c r="AK4" s="5">
        <v>24</v>
      </c>
      <c r="AL4" s="5">
        <v>48</v>
      </c>
      <c r="AM4" s="5">
        <v>48</v>
      </c>
      <c r="AN4" s="5">
        <v>36</v>
      </c>
      <c r="AO4" s="5">
        <v>60</v>
      </c>
      <c r="AP4" s="5">
        <v>60</v>
      </c>
      <c r="AQ4" s="5">
        <v>36</v>
      </c>
      <c r="AR4" s="6">
        <v>45</v>
      </c>
      <c r="AS4" s="6">
        <v>25</v>
      </c>
      <c r="AT4" s="6">
        <v>12</v>
      </c>
      <c r="AU4" s="7">
        <v>400</v>
      </c>
      <c r="AV4">
        <v>15</v>
      </c>
      <c r="AW4">
        <v>20</v>
      </c>
      <c r="AX4" s="1">
        <v>30</v>
      </c>
      <c r="AY4">
        <f t="shared" ref="AY4:AY44" si="0">SUM(AV4:AX4)</f>
        <v>65</v>
      </c>
      <c r="AZ4">
        <v>24</v>
      </c>
      <c r="BA4" s="1">
        <v>23.3</v>
      </c>
      <c r="BB4">
        <v>2</v>
      </c>
      <c r="BC4">
        <v>2</v>
      </c>
      <c r="BD4">
        <v>3</v>
      </c>
      <c r="BE4">
        <v>3</v>
      </c>
      <c r="BF4">
        <v>0</v>
      </c>
      <c r="BG4">
        <v>3</v>
      </c>
      <c r="BH4">
        <v>13</v>
      </c>
      <c r="BI4">
        <v>14.3</v>
      </c>
      <c r="BJ4">
        <v>1</v>
      </c>
      <c r="BK4" s="16" t="s">
        <v>164</v>
      </c>
      <c r="BO4" t="s">
        <v>215</v>
      </c>
      <c r="BP4">
        <v>9</v>
      </c>
      <c r="BQ4">
        <f>9/77</f>
        <v>0.11688311688311688</v>
      </c>
      <c r="BR4" t="s">
        <v>215</v>
      </c>
      <c r="BS4">
        <f>BP4-BT4</f>
        <v>6</v>
      </c>
      <c r="BT4">
        <v>3</v>
      </c>
      <c r="CE4" s="13" t="s">
        <v>2</v>
      </c>
      <c r="CF4">
        <v>4.58</v>
      </c>
      <c r="CG4">
        <v>2.1</v>
      </c>
      <c r="CH4">
        <v>26.73</v>
      </c>
      <c r="CI4" s="33">
        <v>8</v>
      </c>
    </row>
    <row r="5" spans="1:89">
      <c r="A5" s="12" t="s">
        <v>30</v>
      </c>
      <c r="B5">
        <v>70</v>
      </c>
      <c r="C5">
        <v>5</v>
      </c>
      <c r="D5" t="s">
        <v>106</v>
      </c>
      <c r="E5">
        <v>41</v>
      </c>
      <c r="F5" t="s">
        <v>165</v>
      </c>
      <c r="G5" t="s">
        <v>166</v>
      </c>
      <c r="H5" t="s">
        <v>167</v>
      </c>
      <c r="I5" t="s">
        <v>167</v>
      </c>
      <c r="J5">
        <v>950</v>
      </c>
      <c r="K5">
        <v>1.05</v>
      </c>
      <c r="L5"/>
      <c r="M5"/>
      <c r="N5">
        <v>2</v>
      </c>
      <c r="O5">
        <v>20</v>
      </c>
      <c r="P5">
        <v>1055</v>
      </c>
      <c r="Q5">
        <v>7</v>
      </c>
      <c r="R5">
        <v>7</v>
      </c>
      <c r="S5">
        <v>6</v>
      </c>
      <c r="T5" s="2">
        <v>75</v>
      </c>
      <c r="U5" s="18">
        <v>80</v>
      </c>
      <c r="V5" s="2">
        <v>78</v>
      </c>
      <c r="W5" s="8">
        <v>77</v>
      </c>
      <c r="X5" s="3">
        <v>37</v>
      </c>
      <c r="Y5" s="3">
        <v>38</v>
      </c>
      <c r="Z5" s="3">
        <v>74</v>
      </c>
      <c r="AA5" s="3">
        <v>70</v>
      </c>
      <c r="AB5" s="3">
        <v>71</v>
      </c>
      <c r="AC5" s="3">
        <v>47</v>
      </c>
      <c r="AD5" s="3">
        <v>65</v>
      </c>
      <c r="AE5" s="3">
        <v>74</v>
      </c>
      <c r="AF5" s="3">
        <v>65</v>
      </c>
      <c r="AG5" s="3">
        <v>57</v>
      </c>
      <c r="AH5" s="4">
        <v>65</v>
      </c>
      <c r="AI5" s="4">
        <v>44</v>
      </c>
      <c r="AJ5" s="4">
        <v>84</v>
      </c>
      <c r="AK5" s="5">
        <v>98</v>
      </c>
      <c r="AL5" s="5">
        <v>109</v>
      </c>
      <c r="AM5" s="5">
        <v>68</v>
      </c>
      <c r="AN5" s="5">
        <v>89</v>
      </c>
      <c r="AO5" s="5">
        <v>60</v>
      </c>
      <c r="AP5" s="5">
        <v>59</v>
      </c>
      <c r="AQ5" s="5">
        <v>59</v>
      </c>
      <c r="AR5" s="6">
        <v>60</v>
      </c>
      <c r="AS5" s="6">
        <v>96</v>
      </c>
      <c r="AT5" s="6">
        <v>70</v>
      </c>
      <c r="AU5" s="7">
        <v>100</v>
      </c>
      <c r="AV5">
        <v>18</v>
      </c>
      <c r="AW5" s="1">
        <v>26</v>
      </c>
      <c r="AX5">
        <v>27</v>
      </c>
      <c r="AY5" s="1">
        <f t="shared" si="0"/>
        <v>71</v>
      </c>
      <c r="AZ5">
        <v>24</v>
      </c>
      <c r="BA5" s="1">
        <v>23.3</v>
      </c>
      <c r="BB5">
        <v>3</v>
      </c>
      <c r="BC5">
        <v>3</v>
      </c>
      <c r="BD5">
        <v>3</v>
      </c>
      <c r="BE5">
        <v>2</v>
      </c>
      <c r="BF5">
        <v>1</v>
      </c>
      <c r="BG5">
        <v>3</v>
      </c>
      <c r="BH5">
        <v>15</v>
      </c>
      <c r="BI5">
        <v>16.3</v>
      </c>
      <c r="BJ5">
        <v>3</v>
      </c>
      <c r="BK5" s="16" t="s">
        <v>164</v>
      </c>
      <c r="BO5" t="s">
        <v>216</v>
      </c>
      <c r="BP5">
        <v>19</v>
      </c>
      <c r="BQ5">
        <f>19/77</f>
        <v>0.24675324675324675</v>
      </c>
      <c r="BR5" t="s">
        <v>216</v>
      </c>
      <c r="BS5">
        <f>BP5-BT5</f>
        <v>11</v>
      </c>
      <c r="BT5">
        <v>8</v>
      </c>
      <c r="CE5" s="12" t="s">
        <v>30</v>
      </c>
      <c r="CF5">
        <v>3.51</v>
      </c>
      <c r="CG5">
        <v>1.05</v>
      </c>
    </row>
    <row r="6" spans="1:89">
      <c r="A6" s="12" t="s">
        <v>37</v>
      </c>
      <c r="B6">
        <v>71</v>
      </c>
      <c r="C6">
        <v>17</v>
      </c>
      <c r="D6" t="s">
        <v>107</v>
      </c>
      <c r="E6">
        <v>75</v>
      </c>
      <c r="F6" t="s">
        <v>165</v>
      </c>
      <c r="G6" t="s">
        <v>167</v>
      </c>
      <c r="H6" t="s">
        <v>167</v>
      </c>
      <c r="I6" t="s">
        <v>166</v>
      </c>
      <c r="J6">
        <v>0</v>
      </c>
      <c r="K6">
        <v>1.05</v>
      </c>
      <c r="L6"/>
      <c r="M6"/>
      <c r="N6">
        <v>1</v>
      </c>
      <c r="O6">
        <v>11</v>
      </c>
      <c r="P6">
        <v>105</v>
      </c>
      <c r="Q6">
        <v>1</v>
      </c>
      <c r="R6">
        <v>1</v>
      </c>
      <c r="S6">
        <v>0</v>
      </c>
      <c r="T6" s="2">
        <v>50</v>
      </c>
      <c r="U6" s="2">
        <v>74</v>
      </c>
      <c r="V6" s="2">
        <v>38</v>
      </c>
      <c r="W6" s="3">
        <v>72</v>
      </c>
      <c r="X6" s="3">
        <v>60</v>
      </c>
      <c r="Y6" s="3">
        <v>0</v>
      </c>
      <c r="Z6" s="3">
        <v>30</v>
      </c>
      <c r="AA6" s="3">
        <v>46</v>
      </c>
      <c r="AB6" s="3">
        <v>60</v>
      </c>
      <c r="AC6" s="3">
        <v>25</v>
      </c>
      <c r="AD6" s="3">
        <v>26</v>
      </c>
      <c r="AE6" s="8">
        <v>108</v>
      </c>
      <c r="AF6" s="9">
        <v>36</v>
      </c>
      <c r="AG6" s="3">
        <v>0</v>
      </c>
      <c r="AH6" s="4">
        <v>61</v>
      </c>
      <c r="AI6" s="4">
        <v>8</v>
      </c>
      <c r="AJ6" s="4">
        <v>61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40</v>
      </c>
      <c r="AQ6" s="5">
        <v>0</v>
      </c>
      <c r="AR6" s="6">
        <v>10</v>
      </c>
      <c r="AS6" s="6">
        <v>0</v>
      </c>
      <c r="AT6" s="6">
        <v>40</v>
      </c>
      <c r="AU6" s="7">
        <v>700</v>
      </c>
      <c r="AV6">
        <v>15</v>
      </c>
      <c r="AW6">
        <v>18</v>
      </c>
      <c r="AX6">
        <v>23</v>
      </c>
      <c r="AY6">
        <f t="shared" si="0"/>
        <v>56</v>
      </c>
      <c r="AZ6">
        <v>30</v>
      </c>
      <c r="BA6">
        <v>27.7</v>
      </c>
      <c r="BB6">
        <v>3</v>
      </c>
      <c r="BC6">
        <v>3</v>
      </c>
      <c r="BD6">
        <v>1</v>
      </c>
      <c r="BE6">
        <v>3</v>
      </c>
      <c r="BF6">
        <v>1</v>
      </c>
      <c r="BG6">
        <v>3</v>
      </c>
      <c r="BH6">
        <v>14</v>
      </c>
      <c r="BI6">
        <v>13.4</v>
      </c>
      <c r="BJ6" s="1">
        <v>0</v>
      </c>
      <c r="BK6" s="16" t="s">
        <v>201</v>
      </c>
      <c r="BO6" t="s">
        <v>217</v>
      </c>
      <c r="BP6">
        <v>13</v>
      </c>
      <c r="BQ6">
        <f>13/77</f>
        <v>0.16883116883116883</v>
      </c>
      <c r="BR6" t="s">
        <v>217</v>
      </c>
      <c r="BS6">
        <f t="shared" ref="BS6:BS9" si="1">BP6-BT6</f>
        <v>5</v>
      </c>
      <c r="BT6">
        <v>8</v>
      </c>
      <c r="CE6" s="12" t="s">
        <v>37</v>
      </c>
      <c r="CF6">
        <v>2.87</v>
      </c>
      <c r="CG6">
        <v>1.05</v>
      </c>
    </row>
    <row r="7" spans="1:89">
      <c r="A7" s="12" t="s">
        <v>40</v>
      </c>
      <c r="B7">
        <v>74</v>
      </c>
      <c r="C7">
        <v>8</v>
      </c>
      <c r="D7" t="s">
        <v>107</v>
      </c>
      <c r="E7">
        <v>85</v>
      </c>
      <c r="F7" t="s">
        <v>165</v>
      </c>
      <c r="G7" t="s">
        <v>167</v>
      </c>
      <c r="H7" t="s">
        <v>167</v>
      </c>
      <c r="I7" t="s">
        <v>166</v>
      </c>
      <c r="J7">
        <v>300</v>
      </c>
      <c r="K7">
        <v>1.05</v>
      </c>
      <c r="L7"/>
      <c r="M7"/>
      <c r="N7">
        <v>2</v>
      </c>
      <c r="O7">
        <v>28</v>
      </c>
      <c r="P7">
        <v>405</v>
      </c>
      <c r="Q7">
        <v>5</v>
      </c>
      <c r="R7">
        <v>5</v>
      </c>
      <c r="S7">
        <v>4</v>
      </c>
      <c r="T7" s="2">
        <v>75</v>
      </c>
      <c r="U7" s="2">
        <v>51</v>
      </c>
      <c r="V7" s="2">
        <v>80</v>
      </c>
      <c r="W7" s="3">
        <v>61</v>
      </c>
      <c r="X7" s="3">
        <v>61</v>
      </c>
      <c r="Y7" s="8">
        <v>80</v>
      </c>
      <c r="Z7" s="8">
        <v>96</v>
      </c>
      <c r="AA7" s="9">
        <v>54</v>
      </c>
      <c r="AB7" s="3">
        <v>59</v>
      </c>
      <c r="AC7" s="3">
        <v>41</v>
      </c>
      <c r="AD7" s="3">
        <v>60</v>
      </c>
      <c r="AE7" s="3">
        <v>74</v>
      </c>
      <c r="AF7" s="8">
        <v>79</v>
      </c>
      <c r="AG7" s="3">
        <v>57</v>
      </c>
      <c r="AH7" s="4">
        <v>64</v>
      </c>
      <c r="AI7" s="4">
        <v>83</v>
      </c>
      <c r="AJ7" s="4">
        <v>63</v>
      </c>
      <c r="AK7" s="5">
        <v>102</v>
      </c>
      <c r="AL7" s="5">
        <v>74</v>
      </c>
      <c r="AM7" s="5">
        <v>67</v>
      </c>
      <c r="AN7" s="5">
        <v>89</v>
      </c>
      <c r="AO7" s="5">
        <v>44</v>
      </c>
      <c r="AP7" s="5">
        <v>39</v>
      </c>
      <c r="AQ7" s="5">
        <v>69</v>
      </c>
      <c r="AR7" s="6">
        <v>69</v>
      </c>
      <c r="AS7" s="6">
        <v>82</v>
      </c>
      <c r="AT7" s="6">
        <v>39</v>
      </c>
      <c r="AU7" s="7" t="s">
        <v>41</v>
      </c>
      <c r="AV7">
        <v>16</v>
      </c>
      <c r="AW7">
        <v>23</v>
      </c>
      <c r="AX7" s="1">
        <v>31</v>
      </c>
      <c r="AY7" s="1">
        <f t="shared" si="0"/>
        <v>70</v>
      </c>
      <c r="AZ7">
        <v>29</v>
      </c>
      <c r="BA7">
        <v>27.4</v>
      </c>
      <c r="BB7">
        <v>3</v>
      </c>
      <c r="BC7">
        <v>2</v>
      </c>
      <c r="BD7">
        <v>3</v>
      </c>
      <c r="BE7">
        <v>2</v>
      </c>
      <c r="BF7">
        <v>1</v>
      </c>
      <c r="BG7">
        <v>3</v>
      </c>
      <c r="BH7">
        <v>14</v>
      </c>
      <c r="BI7">
        <v>14.7</v>
      </c>
      <c r="BJ7">
        <v>2</v>
      </c>
      <c r="BK7" s="16" t="s">
        <v>170</v>
      </c>
      <c r="BO7" t="s">
        <v>218</v>
      </c>
      <c r="BP7">
        <v>11</v>
      </c>
      <c r="BQ7">
        <f>11/77</f>
        <v>0.14285714285714285</v>
      </c>
      <c r="BR7" t="s">
        <v>218</v>
      </c>
      <c r="BS7">
        <f t="shared" si="1"/>
        <v>10</v>
      </c>
      <c r="BT7">
        <v>1</v>
      </c>
      <c r="CE7" s="12" t="s">
        <v>40</v>
      </c>
      <c r="CF7">
        <v>3.58</v>
      </c>
      <c r="CG7">
        <v>1.05</v>
      </c>
    </row>
    <row r="8" spans="1:89">
      <c r="A8" s="12" t="s">
        <v>42</v>
      </c>
      <c r="B8">
        <v>72</v>
      </c>
      <c r="C8">
        <v>23</v>
      </c>
      <c r="D8" t="s">
        <v>107</v>
      </c>
      <c r="E8">
        <v>70</v>
      </c>
      <c r="F8" t="s">
        <v>165</v>
      </c>
      <c r="G8" t="s">
        <v>166</v>
      </c>
      <c r="H8" t="s">
        <v>167</v>
      </c>
      <c r="I8" t="s">
        <v>166</v>
      </c>
      <c r="J8">
        <v>400</v>
      </c>
      <c r="K8">
        <v>2.1</v>
      </c>
      <c r="L8"/>
      <c r="M8"/>
      <c r="N8">
        <v>2</v>
      </c>
      <c r="O8">
        <v>26</v>
      </c>
      <c r="P8">
        <v>610</v>
      </c>
      <c r="Q8">
        <v>6</v>
      </c>
      <c r="R8">
        <v>6</v>
      </c>
      <c r="S8">
        <v>3</v>
      </c>
      <c r="T8" s="2">
        <v>54</v>
      </c>
      <c r="U8" s="2">
        <v>59</v>
      </c>
      <c r="V8" s="2">
        <v>45</v>
      </c>
      <c r="W8" s="3">
        <v>34</v>
      </c>
      <c r="X8" s="3">
        <v>70</v>
      </c>
      <c r="Y8" s="3">
        <v>33</v>
      </c>
      <c r="Z8" s="3">
        <v>10</v>
      </c>
      <c r="AA8" s="3">
        <v>55</v>
      </c>
      <c r="AB8" s="8">
        <v>81</v>
      </c>
      <c r="AC8" s="3">
        <v>25</v>
      </c>
      <c r="AD8" s="3">
        <v>46</v>
      </c>
      <c r="AE8" s="8">
        <v>108</v>
      </c>
      <c r="AF8" s="3">
        <v>54</v>
      </c>
      <c r="AG8" s="3">
        <v>0</v>
      </c>
      <c r="AH8" s="4">
        <v>60</v>
      </c>
      <c r="AI8" s="4">
        <v>0</v>
      </c>
      <c r="AJ8" s="4">
        <v>68</v>
      </c>
      <c r="AK8" s="5">
        <v>80</v>
      </c>
      <c r="AL8" s="5">
        <v>20</v>
      </c>
      <c r="AM8" s="5">
        <v>24</v>
      </c>
      <c r="AN8" s="5">
        <v>20</v>
      </c>
      <c r="AO8" s="5">
        <v>45</v>
      </c>
      <c r="AP8" s="5">
        <v>20</v>
      </c>
      <c r="AQ8" s="5">
        <v>15</v>
      </c>
      <c r="AR8" s="6">
        <v>50</v>
      </c>
      <c r="AS8" s="6">
        <v>0</v>
      </c>
      <c r="AT8" s="6">
        <v>68</v>
      </c>
      <c r="AU8" s="7">
        <v>750</v>
      </c>
      <c r="AV8">
        <v>14</v>
      </c>
      <c r="AW8">
        <v>18</v>
      </c>
      <c r="AX8">
        <v>23</v>
      </c>
      <c r="AY8">
        <f t="shared" si="0"/>
        <v>55</v>
      </c>
      <c r="AZ8">
        <v>28</v>
      </c>
      <c r="BA8">
        <v>25.7</v>
      </c>
      <c r="BB8">
        <v>3</v>
      </c>
      <c r="BC8">
        <v>3</v>
      </c>
      <c r="BD8">
        <v>1</v>
      </c>
      <c r="BE8">
        <v>3</v>
      </c>
      <c r="BF8">
        <v>1</v>
      </c>
      <c r="BG8">
        <v>3</v>
      </c>
      <c r="BH8">
        <v>14</v>
      </c>
      <c r="BI8">
        <v>13.4</v>
      </c>
      <c r="BJ8" s="1">
        <v>0</v>
      </c>
      <c r="BK8" s="16" t="s">
        <v>168</v>
      </c>
      <c r="BO8" t="s">
        <v>219</v>
      </c>
      <c r="BP8">
        <v>19</v>
      </c>
      <c r="BQ8">
        <f>17/77</f>
        <v>0.22077922077922077</v>
      </c>
      <c r="BR8" t="s">
        <v>219</v>
      </c>
      <c r="BS8">
        <f t="shared" si="1"/>
        <v>8</v>
      </c>
      <c r="BT8">
        <v>11</v>
      </c>
      <c r="CE8" s="12" t="s">
        <v>42</v>
      </c>
      <c r="CF8">
        <v>6.59</v>
      </c>
      <c r="CG8">
        <v>2.1</v>
      </c>
    </row>
    <row r="9" spans="1:89">
      <c r="A9" s="13" t="s">
        <v>43</v>
      </c>
      <c r="B9">
        <v>68</v>
      </c>
      <c r="C9">
        <v>8</v>
      </c>
      <c r="D9" t="s">
        <v>107</v>
      </c>
      <c r="E9">
        <v>73</v>
      </c>
      <c r="F9" t="s">
        <v>165</v>
      </c>
      <c r="G9" t="s">
        <v>167</v>
      </c>
      <c r="H9" t="s">
        <v>167</v>
      </c>
      <c r="I9" t="s">
        <v>166</v>
      </c>
      <c r="J9">
        <v>500</v>
      </c>
      <c r="K9"/>
      <c r="L9">
        <v>8</v>
      </c>
      <c r="M9"/>
      <c r="N9">
        <v>2</v>
      </c>
      <c r="O9">
        <v>19</v>
      </c>
      <c r="P9">
        <v>660</v>
      </c>
      <c r="Q9">
        <v>10</v>
      </c>
      <c r="R9">
        <v>10</v>
      </c>
      <c r="S9">
        <v>10</v>
      </c>
      <c r="T9" s="2">
        <v>62</v>
      </c>
      <c r="U9" s="18">
        <v>84</v>
      </c>
      <c r="V9" s="2">
        <v>59</v>
      </c>
      <c r="W9" s="3">
        <v>51</v>
      </c>
      <c r="X9" s="3">
        <v>66</v>
      </c>
      <c r="Y9" s="3">
        <v>41</v>
      </c>
      <c r="Z9" s="3">
        <v>63</v>
      </c>
      <c r="AA9" s="3">
        <v>60</v>
      </c>
      <c r="AB9" s="3">
        <v>67</v>
      </c>
      <c r="AC9" s="3">
        <v>42</v>
      </c>
      <c r="AD9" s="3">
        <v>61</v>
      </c>
      <c r="AE9" s="8">
        <v>113</v>
      </c>
      <c r="AF9" s="8">
        <v>77</v>
      </c>
      <c r="AG9" s="3">
        <v>0</v>
      </c>
      <c r="AH9" s="4">
        <v>44</v>
      </c>
      <c r="AI9" s="4">
        <v>24</v>
      </c>
      <c r="AJ9" s="4">
        <v>66</v>
      </c>
      <c r="AK9" s="5">
        <v>68</v>
      </c>
      <c r="AL9" s="5">
        <v>65</v>
      </c>
      <c r="AM9" s="5">
        <v>25</v>
      </c>
      <c r="AN9" s="5">
        <v>77</v>
      </c>
      <c r="AO9" s="5">
        <v>15</v>
      </c>
      <c r="AP9" s="5">
        <v>60</v>
      </c>
      <c r="AQ9" s="5">
        <v>65</v>
      </c>
      <c r="AR9" s="6">
        <v>30</v>
      </c>
      <c r="AS9" s="6">
        <v>48</v>
      </c>
      <c r="AT9" s="6">
        <v>60</v>
      </c>
      <c r="AU9" s="7" t="s">
        <v>44</v>
      </c>
      <c r="AV9">
        <v>17</v>
      </c>
      <c r="AW9">
        <v>23</v>
      </c>
      <c r="AX9">
        <v>25</v>
      </c>
      <c r="AY9">
        <f t="shared" si="0"/>
        <v>65</v>
      </c>
      <c r="AZ9">
        <v>29</v>
      </c>
      <c r="BA9">
        <v>27</v>
      </c>
      <c r="BB9">
        <v>3</v>
      </c>
      <c r="BC9">
        <v>3</v>
      </c>
      <c r="BD9">
        <v>3</v>
      </c>
      <c r="BE9">
        <v>3</v>
      </c>
      <c r="BF9">
        <v>1</v>
      </c>
      <c r="BG9">
        <v>3</v>
      </c>
      <c r="BH9">
        <v>16</v>
      </c>
      <c r="BI9">
        <v>16.399999999999999</v>
      </c>
      <c r="BJ9">
        <v>3</v>
      </c>
      <c r="BK9" s="16" t="s">
        <v>168</v>
      </c>
      <c r="BO9" t="s">
        <v>220</v>
      </c>
      <c r="BP9">
        <v>6</v>
      </c>
      <c r="BQ9">
        <f>6/77</f>
        <v>7.792207792207792E-2</v>
      </c>
      <c r="BR9" t="s">
        <v>220</v>
      </c>
      <c r="BS9">
        <f t="shared" si="1"/>
        <v>3</v>
      </c>
      <c r="BT9">
        <v>3</v>
      </c>
      <c r="CE9" s="13" t="s">
        <v>43</v>
      </c>
      <c r="CH9">
        <v>26.34</v>
      </c>
      <c r="CI9" s="33">
        <v>8</v>
      </c>
    </row>
    <row r="10" spans="1:89">
      <c r="A10" s="12" t="s">
        <v>45</v>
      </c>
      <c r="B10">
        <v>50</v>
      </c>
      <c r="C10">
        <v>8</v>
      </c>
      <c r="D10" t="s">
        <v>107</v>
      </c>
      <c r="E10">
        <v>88</v>
      </c>
      <c r="F10" t="s">
        <v>165</v>
      </c>
      <c r="G10" t="s">
        <v>166</v>
      </c>
      <c r="H10" t="s">
        <v>167</v>
      </c>
      <c r="I10" t="s">
        <v>166</v>
      </c>
      <c r="J10">
        <v>0</v>
      </c>
      <c r="K10">
        <v>0.52</v>
      </c>
      <c r="L10"/>
      <c r="M10"/>
      <c r="N10">
        <v>2</v>
      </c>
      <c r="O10">
        <v>42</v>
      </c>
      <c r="P10">
        <v>52</v>
      </c>
      <c r="Q10">
        <v>2.5</v>
      </c>
      <c r="R10">
        <v>1.5</v>
      </c>
      <c r="S10">
        <v>0</v>
      </c>
      <c r="T10" s="2">
        <v>40</v>
      </c>
      <c r="U10" s="18">
        <v>89</v>
      </c>
      <c r="V10" s="2">
        <v>38</v>
      </c>
      <c r="W10" s="3">
        <v>0</v>
      </c>
      <c r="X10" s="3">
        <v>0</v>
      </c>
      <c r="Y10" s="3">
        <v>25</v>
      </c>
      <c r="Z10" s="3">
        <v>0</v>
      </c>
      <c r="AA10" s="8">
        <v>78</v>
      </c>
      <c r="AB10" s="8">
        <v>90</v>
      </c>
      <c r="AC10" s="3">
        <v>17</v>
      </c>
      <c r="AD10" s="3">
        <v>26</v>
      </c>
      <c r="AE10" s="8">
        <v>103</v>
      </c>
      <c r="AF10" s="3">
        <v>18</v>
      </c>
      <c r="AG10" s="3">
        <v>0</v>
      </c>
      <c r="AH10" s="4">
        <v>0</v>
      </c>
      <c r="AI10" s="4">
        <v>25</v>
      </c>
      <c r="AJ10" s="4">
        <v>48</v>
      </c>
      <c r="AK10" s="5">
        <v>40</v>
      </c>
      <c r="AL10" s="5">
        <v>20</v>
      </c>
      <c r="AM10" s="5">
        <v>62</v>
      </c>
      <c r="AN10" s="5">
        <v>10</v>
      </c>
      <c r="AO10" s="5">
        <v>45</v>
      </c>
      <c r="AP10" s="5">
        <v>0</v>
      </c>
      <c r="AQ10" s="5">
        <v>15</v>
      </c>
      <c r="AR10" s="6">
        <v>30</v>
      </c>
      <c r="AS10" s="6">
        <v>0</v>
      </c>
      <c r="AT10" s="6">
        <v>40</v>
      </c>
      <c r="AU10" s="7">
        <v>750</v>
      </c>
      <c r="AV10">
        <v>15</v>
      </c>
      <c r="AW10">
        <v>18</v>
      </c>
      <c r="AX10">
        <v>22</v>
      </c>
      <c r="AY10">
        <f t="shared" si="0"/>
        <v>55</v>
      </c>
      <c r="AZ10">
        <v>28</v>
      </c>
      <c r="BA10">
        <v>26.99</v>
      </c>
      <c r="BB10">
        <v>3</v>
      </c>
      <c r="BC10">
        <v>3</v>
      </c>
      <c r="BD10">
        <v>3</v>
      </c>
      <c r="BE10">
        <v>3</v>
      </c>
      <c r="BF10">
        <v>3</v>
      </c>
      <c r="BG10">
        <v>3</v>
      </c>
      <c r="BH10">
        <v>18</v>
      </c>
      <c r="BI10">
        <v>17.899999999999999</v>
      </c>
      <c r="BJ10">
        <v>4</v>
      </c>
      <c r="BK10" s="16" t="s">
        <v>202</v>
      </c>
      <c r="BP10">
        <f>SUM(BP4:BP9)</f>
        <v>77</v>
      </c>
      <c r="CE10" s="12" t="s">
        <v>45</v>
      </c>
      <c r="CF10">
        <v>1.1399999999999999</v>
      </c>
      <c r="CG10">
        <v>0.52</v>
      </c>
    </row>
    <row r="11" spans="1:89">
      <c r="A11" s="12" t="s">
        <v>46</v>
      </c>
      <c r="B11">
        <v>78</v>
      </c>
      <c r="C11">
        <v>13</v>
      </c>
      <c r="D11" t="s">
        <v>107</v>
      </c>
      <c r="E11">
        <v>75</v>
      </c>
      <c r="F11" t="s">
        <v>165</v>
      </c>
      <c r="G11" t="s">
        <v>166</v>
      </c>
      <c r="H11" t="s">
        <v>167</v>
      </c>
      <c r="I11" t="s">
        <v>166</v>
      </c>
      <c r="J11">
        <v>600</v>
      </c>
      <c r="K11">
        <v>2.1</v>
      </c>
      <c r="L11"/>
      <c r="M11"/>
      <c r="N11">
        <v>4</v>
      </c>
      <c r="O11">
        <v>55</v>
      </c>
      <c r="P11">
        <v>810</v>
      </c>
      <c r="Q11">
        <v>10</v>
      </c>
      <c r="R11">
        <v>7</v>
      </c>
      <c r="S11">
        <v>10</v>
      </c>
      <c r="T11" s="2">
        <v>74</v>
      </c>
      <c r="U11" s="18">
        <v>84</v>
      </c>
      <c r="V11" s="2">
        <v>63</v>
      </c>
      <c r="W11" s="3">
        <v>60</v>
      </c>
      <c r="X11" s="3">
        <v>62</v>
      </c>
      <c r="Y11" s="3">
        <v>50</v>
      </c>
      <c r="Z11" s="8">
        <v>85</v>
      </c>
      <c r="AA11" s="8">
        <v>75</v>
      </c>
      <c r="AB11" s="3">
        <v>67</v>
      </c>
      <c r="AC11" s="3">
        <v>70</v>
      </c>
      <c r="AD11" s="3">
        <v>62</v>
      </c>
      <c r="AE11" s="8">
        <v>93</v>
      </c>
      <c r="AF11" s="8">
        <v>82</v>
      </c>
      <c r="AG11" s="3">
        <v>59</v>
      </c>
      <c r="AH11" s="4">
        <v>59</v>
      </c>
      <c r="AI11" s="4">
        <v>41</v>
      </c>
      <c r="AJ11" s="4">
        <v>70</v>
      </c>
      <c r="AK11" s="5">
        <v>80</v>
      </c>
      <c r="AL11" s="5">
        <v>78</v>
      </c>
      <c r="AM11" s="5">
        <v>64</v>
      </c>
      <c r="AN11" s="5">
        <v>60</v>
      </c>
      <c r="AO11" s="5">
        <v>64</v>
      </c>
      <c r="AP11" s="5">
        <v>62</v>
      </c>
      <c r="AQ11" s="5">
        <v>30</v>
      </c>
      <c r="AR11" s="6">
        <v>60</v>
      </c>
      <c r="AS11" s="6">
        <v>71</v>
      </c>
      <c r="AT11" s="6">
        <v>60</v>
      </c>
      <c r="AU11" s="7" t="s">
        <v>47</v>
      </c>
      <c r="AV11">
        <v>16</v>
      </c>
      <c r="AW11" s="1">
        <v>25</v>
      </c>
      <c r="AX11" s="1">
        <v>30</v>
      </c>
      <c r="AY11" s="1">
        <f t="shared" si="0"/>
        <v>71</v>
      </c>
      <c r="AZ11">
        <v>26</v>
      </c>
      <c r="BA11">
        <v>24.3</v>
      </c>
      <c r="BB11">
        <v>3</v>
      </c>
      <c r="BC11">
        <v>2</v>
      </c>
      <c r="BD11">
        <v>3</v>
      </c>
      <c r="BE11">
        <v>3</v>
      </c>
      <c r="BF11">
        <v>1</v>
      </c>
      <c r="BG11">
        <v>3</v>
      </c>
      <c r="BH11">
        <v>15</v>
      </c>
      <c r="BI11">
        <v>15.2</v>
      </c>
      <c r="BJ11">
        <v>2</v>
      </c>
      <c r="BK11" s="16" t="s">
        <v>203</v>
      </c>
      <c r="CE11" s="12" t="s">
        <v>46</v>
      </c>
      <c r="CF11">
        <v>4.66</v>
      </c>
      <c r="CG11">
        <v>2.1</v>
      </c>
    </row>
    <row r="12" spans="1:89">
      <c r="A12" s="12" t="s">
        <v>48</v>
      </c>
      <c r="B12">
        <v>64</v>
      </c>
      <c r="C12">
        <v>8</v>
      </c>
      <c r="D12" t="s">
        <v>107</v>
      </c>
      <c r="E12">
        <v>67</v>
      </c>
      <c r="F12" t="s">
        <v>165</v>
      </c>
      <c r="G12" t="s">
        <v>166</v>
      </c>
      <c r="H12" t="s">
        <v>167</v>
      </c>
      <c r="I12" t="s">
        <v>166</v>
      </c>
      <c r="J12">
        <v>1192</v>
      </c>
      <c r="K12">
        <v>0.52</v>
      </c>
      <c r="L12"/>
      <c r="M12"/>
      <c r="N12">
        <v>4</v>
      </c>
      <c r="O12">
        <v>45</v>
      </c>
      <c r="P12">
        <v>1244</v>
      </c>
      <c r="Q12">
        <v>20</v>
      </c>
      <c r="R12">
        <v>20</v>
      </c>
      <c r="S12">
        <v>16</v>
      </c>
      <c r="T12" s="18">
        <v>30</v>
      </c>
      <c r="U12" s="2">
        <v>59</v>
      </c>
      <c r="V12" s="2">
        <v>49</v>
      </c>
      <c r="W12" s="3">
        <v>56</v>
      </c>
      <c r="X12" s="3">
        <v>22</v>
      </c>
      <c r="Y12" s="3">
        <v>5</v>
      </c>
      <c r="Z12" s="3">
        <v>15</v>
      </c>
      <c r="AA12" s="3">
        <v>51</v>
      </c>
      <c r="AB12" s="8">
        <v>88</v>
      </c>
      <c r="AC12" s="3">
        <v>30</v>
      </c>
      <c r="AD12" s="3">
        <v>38</v>
      </c>
      <c r="AE12" s="3">
        <v>65</v>
      </c>
      <c r="AF12" s="3">
        <v>29</v>
      </c>
      <c r="AG12" s="3">
        <v>5</v>
      </c>
      <c r="AH12" s="4">
        <v>3</v>
      </c>
      <c r="AI12" s="4">
        <v>11</v>
      </c>
      <c r="AJ12" s="4">
        <v>3</v>
      </c>
      <c r="AK12" s="5">
        <v>43</v>
      </c>
      <c r="AL12" s="5">
        <v>63</v>
      </c>
      <c r="AM12" s="5">
        <v>27</v>
      </c>
      <c r="AN12" s="5">
        <v>33</v>
      </c>
      <c r="AO12" s="5">
        <v>18</v>
      </c>
      <c r="AP12" s="5">
        <v>43</v>
      </c>
      <c r="AQ12" s="5">
        <v>18</v>
      </c>
      <c r="AR12" s="6">
        <v>23</v>
      </c>
      <c r="AS12" s="6">
        <v>39</v>
      </c>
      <c r="AT12" s="6">
        <v>43</v>
      </c>
      <c r="AU12" s="7">
        <v>500</v>
      </c>
      <c r="AV12" s="1">
        <v>21</v>
      </c>
      <c r="AW12" s="1">
        <v>29</v>
      </c>
      <c r="AX12" s="1">
        <v>36</v>
      </c>
      <c r="AY12" s="1">
        <f t="shared" si="0"/>
        <v>86</v>
      </c>
      <c r="AZ12">
        <v>25</v>
      </c>
      <c r="BA12">
        <v>24.49</v>
      </c>
      <c r="BB12">
        <v>3</v>
      </c>
      <c r="BC12">
        <v>3</v>
      </c>
      <c r="BD12">
        <v>2</v>
      </c>
      <c r="BE12">
        <v>2</v>
      </c>
      <c r="BF12">
        <v>3</v>
      </c>
      <c r="BG12">
        <v>3</v>
      </c>
      <c r="BH12">
        <v>16</v>
      </c>
      <c r="BI12">
        <v>16.3</v>
      </c>
      <c r="BJ12">
        <v>3</v>
      </c>
      <c r="BK12" s="16" t="s">
        <v>169</v>
      </c>
      <c r="CE12" s="12" t="s">
        <v>48</v>
      </c>
      <c r="CF12">
        <v>0.86</v>
      </c>
      <c r="CG12">
        <v>0.52</v>
      </c>
    </row>
    <row r="13" spans="1:89">
      <c r="A13" s="12" t="s">
        <v>49</v>
      </c>
      <c r="B13">
        <v>72</v>
      </c>
      <c r="C13">
        <v>13</v>
      </c>
      <c r="D13" t="s">
        <v>106</v>
      </c>
      <c r="E13">
        <v>52</v>
      </c>
      <c r="F13" s="1" t="s">
        <v>171</v>
      </c>
      <c r="G13" t="s">
        <v>167</v>
      </c>
      <c r="H13" t="s">
        <v>167</v>
      </c>
      <c r="I13" t="s">
        <v>166</v>
      </c>
      <c r="J13">
        <v>600</v>
      </c>
      <c r="K13">
        <v>0.52</v>
      </c>
      <c r="L13"/>
      <c r="M13"/>
      <c r="N13">
        <v>2.5</v>
      </c>
      <c r="O13">
        <v>21</v>
      </c>
      <c r="P13">
        <v>652</v>
      </c>
      <c r="Q13">
        <v>12</v>
      </c>
      <c r="R13">
        <v>11</v>
      </c>
      <c r="S13">
        <v>11</v>
      </c>
      <c r="T13" s="2">
        <v>38</v>
      </c>
      <c r="U13" s="18">
        <v>80</v>
      </c>
      <c r="V13" s="2">
        <v>34</v>
      </c>
      <c r="W13" s="3">
        <v>60</v>
      </c>
      <c r="X13" s="3">
        <v>17</v>
      </c>
      <c r="Y13" s="3">
        <v>13</v>
      </c>
      <c r="Z13" s="3">
        <v>34</v>
      </c>
      <c r="AA13" s="3">
        <v>63</v>
      </c>
      <c r="AB13" s="3">
        <v>66</v>
      </c>
      <c r="AC13" s="3">
        <v>24</v>
      </c>
      <c r="AD13" s="3">
        <v>13</v>
      </c>
      <c r="AE13" s="8">
        <v>83</v>
      </c>
      <c r="AF13" s="3">
        <v>24</v>
      </c>
      <c r="AG13" s="3">
        <v>0</v>
      </c>
      <c r="AH13" s="4">
        <v>0</v>
      </c>
      <c r="AI13" s="4">
        <v>15</v>
      </c>
      <c r="AJ13" s="4">
        <v>61</v>
      </c>
      <c r="AK13" s="5">
        <v>12</v>
      </c>
      <c r="AL13" s="5">
        <v>0</v>
      </c>
      <c r="AM13" s="5">
        <v>48</v>
      </c>
      <c r="AN13" s="5">
        <v>24</v>
      </c>
      <c r="AO13" s="5">
        <v>61</v>
      </c>
      <c r="AP13" s="5">
        <v>30</v>
      </c>
      <c r="AQ13" s="5">
        <v>12</v>
      </c>
      <c r="AR13" s="6">
        <v>15</v>
      </c>
      <c r="AS13" s="6">
        <v>0</v>
      </c>
      <c r="AT13" s="6">
        <v>12</v>
      </c>
      <c r="AU13" s="7">
        <v>700</v>
      </c>
      <c r="AV13">
        <v>10</v>
      </c>
      <c r="AW13">
        <v>20</v>
      </c>
      <c r="AX13">
        <v>22</v>
      </c>
      <c r="AY13">
        <f t="shared" si="0"/>
        <v>52</v>
      </c>
      <c r="AZ13">
        <v>29</v>
      </c>
      <c r="BA13">
        <v>26.9</v>
      </c>
      <c r="BB13">
        <v>3</v>
      </c>
      <c r="BC13">
        <v>2</v>
      </c>
      <c r="BD13">
        <v>3</v>
      </c>
      <c r="BE13">
        <v>2</v>
      </c>
      <c r="BF13">
        <v>1</v>
      </c>
      <c r="BG13">
        <v>3</v>
      </c>
      <c r="BH13">
        <v>14</v>
      </c>
      <c r="BI13">
        <v>13.9</v>
      </c>
      <c r="BJ13">
        <v>1</v>
      </c>
      <c r="BK13" s="16" t="s">
        <v>204</v>
      </c>
      <c r="CE13" s="12" t="s">
        <v>49</v>
      </c>
      <c r="CF13">
        <v>1.06</v>
      </c>
      <c r="CG13">
        <v>0.52</v>
      </c>
    </row>
    <row r="14" spans="1:89">
      <c r="A14" s="12" t="s">
        <v>50</v>
      </c>
      <c r="B14">
        <v>62</v>
      </c>
      <c r="C14">
        <v>13</v>
      </c>
      <c r="D14" t="s">
        <v>106</v>
      </c>
      <c r="E14">
        <v>73</v>
      </c>
      <c r="F14" t="s">
        <v>172</v>
      </c>
      <c r="G14" t="s">
        <v>167</v>
      </c>
      <c r="H14" t="s">
        <v>167</v>
      </c>
      <c r="I14" t="s">
        <v>167</v>
      </c>
      <c r="J14">
        <v>200</v>
      </c>
      <c r="K14">
        <v>0.52</v>
      </c>
      <c r="L14"/>
      <c r="M14"/>
      <c r="N14">
        <v>1</v>
      </c>
      <c r="O14">
        <v>16</v>
      </c>
      <c r="P14">
        <v>252</v>
      </c>
      <c r="Q14">
        <v>3</v>
      </c>
      <c r="R14">
        <v>0.5</v>
      </c>
      <c r="S14">
        <v>0.5</v>
      </c>
      <c r="T14" s="18">
        <v>31</v>
      </c>
      <c r="U14" s="18">
        <v>84</v>
      </c>
      <c r="V14" s="2">
        <v>0</v>
      </c>
      <c r="W14" s="3">
        <v>23</v>
      </c>
      <c r="X14" s="3">
        <v>3</v>
      </c>
      <c r="Y14" s="3">
        <v>3</v>
      </c>
      <c r="Z14" s="3">
        <v>20</v>
      </c>
      <c r="AA14" s="8">
        <v>108</v>
      </c>
      <c r="AB14" s="3">
        <v>72</v>
      </c>
      <c r="AC14" s="3">
        <v>27</v>
      </c>
      <c r="AD14" s="3">
        <v>9</v>
      </c>
      <c r="AE14" s="3">
        <v>72</v>
      </c>
      <c r="AF14" s="3">
        <v>21</v>
      </c>
      <c r="AG14" s="3">
        <v>3</v>
      </c>
      <c r="AH14" s="4">
        <v>2</v>
      </c>
      <c r="AI14" s="4">
        <v>2</v>
      </c>
      <c r="AJ14" s="4">
        <v>26</v>
      </c>
      <c r="AK14" s="5">
        <v>14</v>
      </c>
      <c r="AL14" s="5">
        <v>2</v>
      </c>
      <c r="AM14" s="5">
        <v>62</v>
      </c>
      <c r="AN14" s="5">
        <v>2</v>
      </c>
      <c r="AO14" s="5">
        <v>2</v>
      </c>
      <c r="AP14" s="5">
        <v>32</v>
      </c>
      <c r="AQ14" s="5">
        <v>2</v>
      </c>
      <c r="AR14" s="6">
        <v>2</v>
      </c>
      <c r="AS14" s="6">
        <v>2</v>
      </c>
      <c r="AT14" s="6">
        <v>2</v>
      </c>
      <c r="AU14" s="7">
        <v>400</v>
      </c>
      <c r="AV14">
        <v>15</v>
      </c>
      <c r="AW14">
        <v>20</v>
      </c>
      <c r="AX14" s="1">
        <v>33</v>
      </c>
      <c r="AY14">
        <f t="shared" si="0"/>
        <v>68</v>
      </c>
      <c r="AZ14">
        <v>30</v>
      </c>
      <c r="BA14">
        <v>29.49</v>
      </c>
      <c r="BB14">
        <v>3</v>
      </c>
      <c r="BC14">
        <v>3</v>
      </c>
      <c r="BD14">
        <v>3</v>
      </c>
      <c r="BE14">
        <v>3</v>
      </c>
      <c r="BF14">
        <v>3</v>
      </c>
      <c r="BG14">
        <v>3</v>
      </c>
      <c r="BH14">
        <v>18</v>
      </c>
      <c r="BI14">
        <v>17.5</v>
      </c>
      <c r="BJ14">
        <v>4</v>
      </c>
      <c r="BK14" s="16" t="s">
        <v>205</v>
      </c>
      <c r="CE14" s="12" t="s">
        <v>50</v>
      </c>
      <c r="CF14">
        <v>0.77</v>
      </c>
      <c r="CG14">
        <v>0.52</v>
      </c>
    </row>
    <row r="15" spans="1:89">
      <c r="A15" s="14" t="s">
        <v>51</v>
      </c>
      <c r="B15">
        <v>61</v>
      </c>
      <c r="C15">
        <v>17</v>
      </c>
      <c r="D15" t="s">
        <v>107</v>
      </c>
      <c r="E15">
        <v>80</v>
      </c>
      <c r="F15" t="s">
        <v>165</v>
      </c>
      <c r="G15" t="s">
        <v>167</v>
      </c>
      <c r="H15" t="s">
        <v>167</v>
      </c>
      <c r="I15" t="s">
        <v>166</v>
      </c>
      <c r="J15">
        <v>600</v>
      </c>
      <c r="K15"/>
      <c r="L15"/>
      <c r="M15">
        <v>6</v>
      </c>
      <c r="N15">
        <v>1</v>
      </c>
      <c r="O15">
        <v>9</v>
      </c>
      <c r="P15">
        <v>781</v>
      </c>
      <c r="Q15">
        <v>11</v>
      </c>
      <c r="R15">
        <v>11</v>
      </c>
      <c r="S15">
        <v>8</v>
      </c>
      <c r="T15" s="18">
        <v>32</v>
      </c>
      <c r="U15" s="18">
        <v>84</v>
      </c>
      <c r="V15" s="2">
        <v>0</v>
      </c>
      <c r="W15" s="3">
        <v>10</v>
      </c>
      <c r="X15" s="3">
        <v>2</v>
      </c>
      <c r="Y15" s="3">
        <v>2</v>
      </c>
      <c r="Z15" s="3">
        <v>2</v>
      </c>
      <c r="AA15" s="8">
        <v>88</v>
      </c>
      <c r="AB15" s="3">
        <v>73</v>
      </c>
      <c r="AC15" s="3">
        <v>19</v>
      </c>
      <c r="AD15" s="3">
        <v>42</v>
      </c>
      <c r="AE15" s="8">
        <v>77</v>
      </c>
      <c r="AF15" s="3">
        <v>14</v>
      </c>
      <c r="AG15" s="3">
        <v>2</v>
      </c>
      <c r="AH15" s="4">
        <v>2</v>
      </c>
      <c r="AI15" s="4">
        <v>2</v>
      </c>
      <c r="AJ15" s="4">
        <v>2</v>
      </c>
      <c r="AK15" s="5">
        <v>2</v>
      </c>
      <c r="AL15" s="5">
        <v>2</v>
      </c>
      <c r="AM15" s="5">
        <v>62</v>
      </c>
      <c r="AN15" s="5">
        <v>2</v>
      </c>
      <c r="AO15" s="5">
        <v>47</v>
      </c>
      <c r="AP15" s="5">
        <v>22</v>
      </c>
      <c r="AQ15" s="5">
        <v>2</v>
      </c>
      <c r="AR15" s="6">
        <v>2</v>
      </c>
      <c r="AS15" s="6">
        <v>2</v>
      </c>
      <c r="AT15" s="6">
        <v>2</v>
      </c>
      <c r="AU15" s="7">
        <v>470</v>
      </c>
      <c r="AV15">
        <v>13</v>
      </c>
      <c r="AW15">
        <v>16</v>
      </c>
      <c r="AX15">
        <v>26</v>
      </c>
      <c r="AY15">
        <f t="shared" si="0"/>
        <v>55</v>
      </c>
      <c r="AZ15">
        <v>28</v>
      </c>
      <c r="BA15">
        <v>26.46</v>
      </c>
      <c r="BB15">
        <v>3</v>
      </c>
      <c r="BC15">
        <v>3</v>
      </c>
      <c r="BD15">
        <v>3</v>
      </c>
      <c r="BE15">
        <v>3</v>
      </c>
      <c r="BF15">
        <v>1</v>
      </c>
      <c r="BG15">
        <v>3</v>
      </c>
      <c r="BH15">
        <v>16</v>
      </c>
      <c r="BI15">
        <v>15</v>
      </c>
      <c r="BJ15">
        <v>2</v>
      </c>
      <c r="BK15" s="16" t="s">
        <v>206</v>
      </c>
      <c r="CE15" s="14" t="s">
        <v>51</v>
      </c>
      <c r="CF15">
        <f>AVERAGE(CF1:CF14)</f>
        <v>2.9620000000000002</v>
      </c>
      <c r="CJ15">
        <v>0.04</v>
      </c>
      <c r="CK15">
        <v>6</v>
      </c>
    </row>
    <row r="16" spans="1:89">
      <c r="A16" s="12" t="s">
        <v>52</v>
      </c>
      <c r="B16">
        <v>72</v>
      </c>
      <c r="C16">
        <v>17</v>
      </c>
      <c r="D16" t="s">
        <v>107</v>
      </c>
      <c r="E16">
        <v>76</v>
      </c>
      <c r="F16" t="s">
        <v>165</v>
      </c>
      <c r="G16" t="s">
        <v>166</v>
      </c>
      <c r="H16" t="s">
        <v>166</v>
      </c>
      <c r="I16" t="s">
        <v>167</v>
      </c>
      <c r="J16">
        <v>800</v>
      </c>
      <c r="K16">
        <v>1.05</v>
      </c>
      <c r="L16"/>
      <c r="M16"/>
      <c r="N16">
        <v>3</v>
      </c>
      <c r="O16">
        <v>63</v>
      </c>
      <c r="P16">
        <v>905</v>
      </c>
      <c r="Q16">
        <v>11</v>
      </c>
      <c r="R16">
        <v>10</v>
      </c>
      <c r="S16">
        <v>11</v>
      </c>
      <c r="T16" s="2">
        <v>62</v>
      </c>
      <c r="U16" s="2">
        <v>43</v>
      </c>
      <c r="V16" s="2">
        <v>67</v>
      </c>
      <c r="W16" s="3">
        <v>66</v>
      </c>
      <c r="X16" s="3">
        <v>73</v>
      </c>
      <c r="Y16" s="8">
        <v>77</v>
      </c>
      <c r="Z16" s="8">
        <v>75</v>
      </c>
      <c r="AA16" s="3">
        <v>41</v>
      </c>
      <c r="AB16" s="3">
        <v>41</v>
      </c>
      <c r="AC16" s="3">
        <v>25</v>
      </c>
      <c r="AD16" s="3">
        <v>40</v>
      </c>
      <c r="AE16" s="3">
        <v>60</v>
      </c>
      <c r="AF16" s="3">
        <v>48</v>
      </c>
      <c r="AG16" s="3">
        <v>59</v>
      </c>
      <c r="AH16" s="4">
        <v>67</v>
      </c>
      <c r="AI16" s="4">
        <v>59</v>
      </c>
      <c r="AJ16" s="4">
        <v>64</v>
      </c>
      <c r="AK16" s="5">
        <v>98</v>
      </c>
      <c r="AL16" s="5">
        <v>72</v>
      </c>
      <c r="AM16" s="5">
        <v>64</v>
      </c>
      <c r="AN16" s="5">
        <v>68</v>
      </c>
      <c r="AO16" s="5">
        <v>75</v>
      </c>
      <c r="AP16" s="5">
        <v>60</v>
      </c>
      <c r="AQ16" s="5">
        <v>66</v>
      </c>
      <c r="AR16" s="6">
        <v>70</v>
      </c>
      <c r="AS16" s="6">
        <v>75</v>
      </c>
      <c r="AT16" s="6">
        <v>60</v>
      </c>
      <c r="AU16" s="7">
        <v>300</v>
      </c>
      <c r="AV16">
        <v>20</v>
      </c>
      <c r="AW16">
        <v>17</v>
      </c>
      <c r="AX16">
        <v>22</v>
      </c>
      <c r="AY16">
        <f t="shared" si="0"/>
        <v>59</v>
      </c>
      <c r="AZ16">
        <v>30</v>
      </c>
      <c r="BA16">
        <v>30</v>
      </c>
      <c r="BB16">
        <v>2</v>
      </c>
      <c r="BC16">
        <v>2</v>
      </c>
      <c r="BD16">
        <v>3</v>
      </c>
      <c r="BE16">
        <v>2</v>
      </c>
      <c r="BF16">
        <v>1</v>
      </c>
      <c r="BG16">
        <v>3</v>
      </c>
      <c r="BH16">
        <v>13</v>
      </c>
      <c r="BI16">
        <v>12.4</v>
      </c>
      <c r="BJ16" s="1">
        <v>0</v>
      </c>
      <c r="BK16" s="16" t="s">
        <v>207</v>
      </c>
      <c r="CE16" s="12" t="s">
        <v>52</v>
      </c>
      <c r="CF16">
        <v>2.02</v>
      </c>
      <c r="CG16">
        <v>1.05</v>
      </c>
    </row>
    <row r="17" spans="1:89">
      <c r="A17" s="12" t="s">
        <v>53</v>
      </c>
      <c r="B17">
        <v>71</v>
      </c>
      <c r="C17">
        <v>8</v>
      </c>
      <c r="D17" t="s">
        <v>107</v>
      </c>
      <c r="E17">
        <v>90</v>
      </c>
      <c r="F17" t="s">
        <v>165</v>
      </c>
      <c r="G17" t="s">
        <v>166</v>
      </c>
      <c r="H17" t="s">
        <v>167</v>
      </c>
      <c r="I17" t="s">
        <v>166</v>
      </c>
      <c r="J17">
        <v>600</v>
      </c>
      <c r="K17">
        <v>1.05</v>
      </c>
      <c r="L17"/>
      <c r="M17"/>
      <c r="N17">
        <v>2</v>
      </c>
      <c r="O17">
        <v>37</v>
      </c>
      <c r="P17">
        <v>705</v>
      </c>
      <c r="Q17">
        <v>4</v>
      </c>
      <c r="R17">
        <v>4</v>
      </c>
      <c r="S17">
        <v>4</v>
      </c>
      <c r="T17" s="2">
        <v>55</v>
      </c>
      <c r="U17" s="2">
        <v>59</v>
      </c>
      <c r="V17" s="2">
        <v>61</v>
      </c>
      <c r="W17" s="3">
        <v>60</v>
      </c>
      <c r="X17" s="3">
        <v>66</v>
      </c>
      <c r="Y17" s="3">
        <v>61</v>
      </c>
      <c r="Z17" s="3">
        <v>66</v>
      </c>
      <c r="AA17" s="3">
        <v>50</v>
      </c>
      <c r="AB17" s="3">
        <v>46</v>
      </c>
      <c r="AC17" s="3">
        <v>25</v>
      </c>
      <c r="AD17" s="3">
        <v>20</v>
      </c>
      <c r="AE17" s="8">
        <v>108</v>
      </c>
      <c r="AF17" s="3">
        <v>42</v>
      </c>
      <c r="AG17" s="3">
        <v>28</v>
      </c>
      <c r="AH17" s="4">
        <v>44</v>
      </c>
      <c r="AI17" s="4">
        <v>6</v>
      </c>
      <c r="AJ17" s="4">
        <v>60</v>
      </c>
      <c r="AK17" s="5">
        <v>85</v>
      </c>
      <c r="AL17" s="5">
        <v>62</v>
      </c>
      <c r="AM17" s="5">
        <v>48</v>
      </c>
      <c r="AN17" s="5">
        <v>10</v>
      </c>
      <c r="AO17" s="5">
        <v>0</v>
      </c>
      <c r="AP17" s="5">
        <v>20</v>
      </c>
      <c r="AQ17" s="5">
        <v>45</v>
      </c>
      <c r="AR17" s="6">
        <v>30</v>
      </c>
      <c r="AS17" s="6">
        <v>36</v>
      </c>
      <c r="AT17" s="6">
        <v>20</v>
      </c>
      <c r="AU17" s="7">
        <v>700</v>
      </c>
      <c r="AV17">
        <v>17</v>
      </c>
      <c r="AW17">
        <v>20</v>
      </c>
      <c r="AX17">
        <v>27</v>
      </c>
      <c r="AY17">
        <f t="shared" si="0"/>
        <v>64</v>
      </c>
      <c r="AZ17">
        <v>29</v>
      </c>
      <c r="BA17">
        <v>27.4</v>
      </c>
      <c r="BB17">
        <v>3</v>
      </c>
      <c r="BC17">
        <v>3</v>
      </c>
      <c r="BD17">
        <v>3</v>
      </c>
      <c r="BE17">
        <v>3</v>
      </c>
      <c r="BF17">
        <v>3</v>
      </c>
      <c r="BG17">
        <v>3</v>
      </c>
      <c r="BH17">
        <v>18</v>
      </c>
      <c r="BI17">
        <v>18.7</v>
      </c>
      <c r="BJ17">
        <v>4</v>
      </c>
      <c r="BK17" s="16" t="s">
        <v>173</v>
      </c>
      <c r="CE17" s="12" t="s">
        <v>53</v>
      </c>
      <c r="CF17">
        <v>1.31</v>
      </c>
      <c r="CG17">
        <v>1.05</v>
      </c>
    </row>
    <row r="18" spans="1:89">
      <c r="A18" s="12" t="s">
        <v>54</v>
      </c>
      <c r="B18">
        <v>59</v>
      </c>
      <c r="C18">
        <v>11</v>
      </c>
      <c r="D18" t="s">
        <v>107</v>
      </c>
      <c r="E18">
        <v>110</v>
      </c>
      <c r="F18" t="s">
        <v>165</v>
      </c>
      <c r="G18" t="s">
        <v>166</v>
      </c>
      <c r="H18" t="s">
        <v>167</v>
      </c>
      <c r="I18" t="s">
        <v>166</v>
      </c>
      <c r="J18">
        <v>0</v>
      </c>
      <c r="K18">
        <v>1.05</v>
      </c>
      <c r="L18"/>
      <c r="M18"/>
      <c r="N18">
        <v>2</v>
      </c>
      <c r="O18">
        <v>35</v>
      </c>
      <c r="P18" s="25"/>
      <c r="Q18">
        <v>3</v>
      </c>
      <c r="R18">
        <v>3</v>
      </c>
      <c r="S18">
        <v>0</v>
      </c>
      <c r="T18" s="2">
        <v>46</v>
      </c>
      <c r="U18" s="18">
        <v>84</v>
      </c>
      <c r="V18" s="2">
        <v>59</v>
      </c>
      <c r="W18" s="3">
        <v>42</v>
      </c>
      <c r="X18" s="3">
        <v>24</v>
      </c>
      <c r="Y18" s="3">
        <v>16</v>
      </c>
      <c r="Z18" s="3">
        <v>63</v>
      </c>
      <c r="AA18" s="3">
        <v>70</v>
      </c>
      <c r="AB18" s="3">
        <v>63</v>
      </c>
      <c r="AC18" s="3">
        <v>17</v>
      </c>
      <c r="AD18" s="3">
        <v>40</v>
      </c>
      <c r="AE18" s="8">
        <v>93</v>
      </c>
      <c r="AF18" s="3">
        <v>12</v>
      </c>
      <c r="AG18" s="3">
        <v>0</v>
      </c>
      <c r="AH18" s="4">
        <v>0</v>
      </c>
      <c r="AI18" s="4">
        <v>0</v>
      </c>
      <c r="AJ18" s="4">
        <v>24</v>
      </c>
      <c r="AK18" s="5">
        <v>75</v>
      </c>
      <c r="AL18" s="5">
        <v>75</v>
      </c>
      <c r="AM18" s="5">
        <v>24</v>
      </c>
      <c r="AN18" s="5">
        <v>30</v>
      </c>
      <c r="AO18" s="5">
        <v>30</v>
      </c>
      <c r="AP18" s="5">
        <v>20</v>
      </c>
      <c r="AQ18" s="5">
        <v>0</v>
      </c>
      <c r="AR18" s="6">
        <v>30</v>
      </c>
      <c r="AS18" s="6">
        <v>36</v>
      </c>
      <c r="AT18" s="6">
        <v>40</v>
      </c>
      <c r="AU18" s="7">
        <v>700</v>
      </c>
      <c r="AV18">
        <v>17</v>
      </c>
      <c r="AW18">
        <v>15</v>
      </c>
      <c r="AX18">
        <v>17</v>
      </c>
      <c r="AY18">
        <f t="shared" si="0"/>
        <v>49</v>
      </c>
      <c r="AZ18">
        <v>30</v>
      </c>
      <c r="BA18">
        <v>28.99</v>
      </c>
      <c r="BB18">
        <v>2</v>
      </c>
      <c r="BC18">
        <v>1</v>
      </c>
      <c r="BD18">
        <v>3</v>
      </c>
      <c r="BE18">
        <v>0</v>
      </c>
      <c r="BF18">
        <v>0</v>
      </c>
      <c r="BG18">
        <v>3</v>
      </c>
      <c r="BH18">
        <v>9</v>
      </c>
      <c r="BI18">
        <v>9.1</v>
      </c>
      <c r="BJ18" s="1">
        <v>0</v>
      </c>
      <c r="BK18" s="16" t="s">
        <v>174</v>
      </c>
      <c r="CE18" s="12" t="s">
        <v>54</v>
      </c>
      <c r="CF18">
        <v>1.97</v>
      </c>
      <c r="CG18">
        <v>1.05</v>
      </c>
    </row>
    <row r="19" spans="1:89">
      <c r="A19" s="13" t="s">
        <v>88</v>
      </c>
      <c r="B19">
        <v>63</v>
      </c>
      <c r="C19">
        <v>13</v>
      </c>
      <c r="D19" t="s">
        <v>107</v>
      </c>
      <c r="E19">
        <v>87</v>
      </c>
      <c r="F19" t="s">
        <v>165</v>
      </c>
      <c r="G19" t="s">
        <v>166</v>
      </c>
      <c r="H19" t="s">
        <v>167</v>
      </c>
      <c r="I19" t="s">
        <v>166</v>
      </c>
      <c r="J19">
        <v>450</v>
      </c>
      <c r="K19"/>
      <c r="L19">
        <v>16</v>
      </c>
      <c r="M19"/>
      <c r="N19">
        <v>2</v>
      </c>
      <c r="O19">
        <v>20</v>
      </c>
      <c r="P19" s="25"/>
      <c r="Q19">
        <v>5</v>
      </c>
      <c r="R19">
        <v>5</v>
      </c>
      <c r="S19">
        <v>5</v>
      </c>
      <c r="T19" s="2">
        <v>50</v>
      </c>
      <c r="U19" s="18">
        <v>84</v>
      </c>
      <c r="V19" s="2">
        <v>38</v>
      </c>
      <c r="W19" s="3">
        <v>51</v>
      </c>
      <c r="X19" s="3">
        <v>34</v>
      </c>
      <c r="Y19" s="3">
        <v>0</v>
      </c>
      <c r="Z19" s="3">
        <v>63</v>
      </c>
      <c r="AA19" s="8">
        <v>83</v>
      </c>
      <c r="AB19" s="3">
        <v>71</v>
      </c>
      <c r="AC19" s="3">
        <v>62</v>
      </c>
      <c r="AD19" s="3">
        <v>60</v>
      </c>
      <c r="AE19" s="3">
        <v>50</v>
      </c>
      <c r="AF19" s="3">
        <v>0</v>
      </c>
      <c r="AG19" s="3">
        <v>30</v>
      </c>
      <c r="AH19" s="4">
        <v>0</v>
      </c>
      <c r="AI19" s="4">
        <v>34</v>
      </c>
      <c r="AJ19" s="4">
        <v>61</v>
      </c>
      <c r="AK19" s="5">
        <v>60</v>
      </c>
      <c r="AL19" s="5">
        <v>62</v>
      </c>
      <c r="AM19" s="5">
        <v>62</v>
      </c>
      <c r="AN19" s="5">
        <v>20</v>
      </c>
      <c r="AO19" s="5">
        <v>64</v>
      </c>
      <c r="AP19" s="5">
        <v>64</v>
      </c>
      <c r="AQ19" s="5">
        <v>15</v>
      </c>
      <c r="AR19" s="6">
        <v>20</v>
      </c>
      <c r="AS19" s="6">
        <v>48</v>
      </c>
      <c r="AT19" s="6">
        <v>20</v>
      </c>
      <c r="AU19" s="7">
        <v>400</v>
      </c>
      <c r="AV19" s="6">
        <v>12</v>
      </c>
      <c r="AW19" s="6">
        <v>17</v>
      </c>
      <c r="AX19" s="6">
        <v>27</v>
      </c>
      <c r="AY19">
        <f t="shared" si="0"/>
        <v>56</v>
      </c>
      <c r="AZ19">
        <v>30</v>
      </c>
      <c r="BA19">
        <v>27.2</v>
      </c>
      <c r="BB19">
        <v>3</v>
      </c>
      <c r="BC19">
        <v>3</v>
      </c>
      <c r="BD19">
        <v>3</v>
      </c>
      <c r="BE19">
        <v>3</v>
      </c>
      <c r="BF19">
        <v>3</v>
      </c>
      <c r="BG19">
        <v>3</v>
      </c>
      <c r="BH19">
        <v>18</v>
      </c>
      <c r="BI19">
        <v>17.5</v>
      </c>
      <c r="BJ19">
        <v>4</v>
      </c>
      <c r="BK19" s="16" t="s">
        <v>175</v>
      </c>
      <c r="CE19" s="13" t="s">
        <v>88</v>
      </c>
      <c r="CH19">
        <v>20.3</v>
      </c>
      <c r="CI19" s="33">
        <v>16</v>
      </c>
    </row>
    <row r="20" spans="1:89">
      <c r="A20" s="15" t="s">
        <v>59</v>
      </c>
      <c r="B20">
        <v>61</v>
      </c>
      <c r="C20">
        <v>8</v>
      </c>
      <c r="D20" t="s">
        <v>107</v>
      </c>
      <c r="E20">
        <v>83</v>
      </c>
      <c r="F20" s="28" t="s">
        <v>176</v>
      </c>
      <c r="G20" t="s">
        <v>166</v>
      </c>
      <c r="H20" t="s">
        <v>167</v>
      </c>
      <c r="I20" t="s">
        <v>167</v>
      </c>
      <c r="J20">
        <v>200</v>
      </c>
      <c r="K20"/>
      <c r="L20"/>
      <c r="M20">
        <v>8</v>
      </c>
      <c r="N20">
        <v>2</v>
      </c>
      <c r="O20">
        <v>30</v>
      </c>
      <c r="P20" s="25"/>
      <c r="Q20">
        <v>6</v>
      </c>
      <c r="R20">
        <v>6</v>
      </c>
      <c r="S20">
        <v>3</v>
      </c>
      <c r="T20" s="2">
        <v>78</v>
      </c>
      <c r="U20" s="2">
        <v>59</v>
      </c>
      <c r="V20" s="2">
        <v>74</v>
      </c>
      <c r="W20" s="3">
        <v>68</v>
      </c>
      <c r="X20" s="3">
        <v>72</v>
      </c>
      <c r="Y20" s="3">
        <v>61</v>
      </c>
      <c r="Z20" s="3">
        <v>56</v>
      </c>
      <c r="AA20" s="3">
        <v>46</v>
      </c>
      <c r="AB20" s="8">
        <v>86</v>
      </c>
      <c r="AC20" s="3">
        <v>74</v>
      </c>
      <c r="AD20" s="3">
        <v>60</v>
      </c>
      <c r="AE20" s="3">
        <v>46</v>
      </c>
      <c r="AF20" s="8">
        <v>91</v>
      </c>
      <c r="AG20" s="3">
        <v>59</v>
      </c>
      <c r="AH20" s="4">
        <v>64</v>
      </c>
      <c r="AI20" s="4">
        <v>64</v>
      </c>
      <c r="AJ20" s="4">
        <v>112</v>
      </c>
      <c r="AK20" s="5">
        <v>84</v>
      </c>
      <c r="AL20" s="5">
        <v>78</v>
      </c>
      <c r="AM20" s="5">
        <v>112</v>
      </c>
      <c r="AN20" s="5">
        <v>87</v>
      </c>
      <c r="AO20" s="5">
        <v>61</v>
      </c>
      <c r="AP20" s="5">
        <v>92</v>
      </c>
      <c r="AQ20" s="5">
        <v>62</v>
      </c>
      <c r="AR20" s="6">
        <v>61</v>
      </c>
      <c r="AS20" s="6">
        <v>64</v>
      </c>
      <c r="AT20" s="6">
        <v>100</v>
      </c>
      <c r="AU20" s="7" t="s">
        <v>60</v>
      </c>
      <c r="AV20">
        <v>19</v>
      </c>
      <c r="AW20">
        <v>22</v>
      </c>
      <c r="AX20">
        <v>22</v>
      </c>
      <c r="AY20">
        <f t="shared" si="0"/>
        <v>63</v>
      </c>
      <c r="AZ20">
        <v>29</v>
      </c>
      <c r="BA20">
        <v>29.53</v>
      </c>
      <c r="BB20">
        <v>2</v>
      </c>
      <c r="BC20">
        <v>2</v>
      </c>
      <c r="BD20">
        <v>3</v>
      </c>
      <c r="BE20">
        <v>3</v>
      </c>
      <c r="BF20">
        <v>1</v>
      </c>
      <c r="BG20">
        <v>3</v>
      </c>
      <c r="BH20">
        <v>14</v>
      </c>
      <c r="BI20">
        <v>14.3</v>
      </c>
      <c r="BJ20">
        <v>1</v>
      </c>
      <c r="BK20" s="16" t="s">
        <v>177</v>
      </c>
      <c r="CE20" s="15" t="s">
        <v>59</v>
      </c>
      <c r="CJ20">
        <v>2</v>
      </c>
      <c r="CK20">
        <v>8</v>
      </c>
    </row>
    <row r="21" spans="1:89">
      <c r="A21" s="13" t="s">
        <v>73</v>
      </c>
      <c r="B21">
        <v>79</v>
      </c>
      <c r="C21">
        <v>8</v>
      </c>
      <c r="D21" t="s">
        <v>107</v>
      </c>
      <c r="E21">
        <v>72</v>
      </c>
      <c r="F21" t="s">
        <v>165</v>
      </c>
      <c r="G21" t="s">
        <v>166</v>
      </c>
      <c r="H21" t="s">
        <v>167</v>
      </c>
      <c r="I21" t="s">
        <v>166</v>
      </c>
      <c r="J21">
        <v>400</v>
      </c>
      <c r="K21"/>
      <c r="L21">
        <v>2</v>
      </c>
      <c r="M21"/>
      <c r="N21">
        <v>2</v>
      </c>
      <c r="O21">
        <v>32</v>
      </c>
      <c r="P21">
        <v>440</v>
      </c>
      <c r="Q21">
        <v>6</v>
      </c>
      <c r="R21" s="21">
        <v>4</v>
      </c>
      <c r="S21">
        <v>6</v>
      </c>
      <c r="T21" s="2">
        <v>71</v>
      </c>
      <c r="U21" s="18">
        <v>80</v>
      </c>
      <c r="V21" s="2">
        <v>64</v>
      </c>
      <c r="W21" s="3">
        <v>60</v>
      </c>
      <c r="X21" s="3">
        <v>66</v>
      </c>
      <c r="Y21" s="3">
        <v>50</v>
      </c>
      <c r="Z21" s="8">
        <v>80</v>
      </c>
      <c r="AA21" s="3">
        <v>55</v>
      </c>
      <c r="AB21" s="8">
        <v>78</v>
      </c>
      <c r="AC21" s="3">
        <v>65</v>
      </c>
      <c r="AD21" s="3">
        <v>64</v>
      </c>
      <c r="AE21" s="8">
        <v>93</v>
      </c>
      <c r="AF21" s="8">
        <v>82</v>
      </c>
      <c r="AG21" s="3">
        <v>44</v>
      </c>
      <c r="AH21" s="4">
        <v>44</v>
      </c>
      <c r="AI21" s="4">
        <v>59</v>
      </c>
      <c r="AJ21" s="4">
        <v>65</v>
      </c>
      <c r="AK21" s="5">
        <v>75</v>
      </c>
      <c r="AL21" s="5">
        <v>60</v>
      </c>
      <c r="AM21" s="5">
        <v>68</v>
      </c>
      <c r="AN21" s="5">
        <v>75</v>
      </c>
      <c r="AO21" s="5">
        <v>64</v>
      </c>
      <c r="AP21" s="5">
        <v>62</v>
      </c>
      <c r="AQ21" s="5">
        <v>60</v>
      </c>
      <c r="AR21" s="6">
        <v>65</v>
      </c>
      <c r="AS21" s="6">
        <v>60</v>
      </c>
      <c r="AT21" s="6">
        <v>60</v>
      </c>
      <c r="AU21" s="7" t="s">
        <v>44</v>
      </c>
      <c r="AV21">
        <v>20</v>
      </c>
      <c r="AW21">
        <v>20</v>
      </c>
      <c r="AX21">
        <v>16</v>
      </c>
      <c r="AY21">
        <f t="shared" si="0"/>
        <v>56</v>
      </c>
      <c r="AZ21">
        <v>27</v>
      </c>
      <c r="BA21">
        <v>26</v>
      </c>
      <c r="BB21">
        <v>3</v>
      </c>
      <c r="BC21">
        <v>1</v>
      </c>
      <c r="BD21">
        <v>0</v>
      </c>
      <c r="BE21">
        <v>3</v>
      </c>
      <c r="BF21">
        <v>1</v>
      </c>
      <c r="BG21">
        <v>3</v>
      </c>
      <c r="BH21">
        <v>11</v>
      </c>
      <c r="BI21">
        <v>11.9</v>
      </c>
      <c r="BJ21" s="1">
        <v>0</v>
      </c>
      <c r="BK21" s="16" t="s">
        <v>173</v>
      </c>
      <c r="CE21" s="13" t="s">
        <v>73</v>
      </c>
      <c r="CH21">
        <v>1.56</v>
      </c>
      <c r="CI21" s="33">
        <v>2</v>
      </c>
    </row>
    <row r="22" spans="1:89">
      <c r="A22" s="13" t="s">
        <v>74</v>
      </c>
      <c r="B22">
        <v>58</v>
      </c>
      <c r="C22">
        <v>13</v>
      </c>
      <c r="D22" t="s">
        <v>106</v>
      </c>
      <c r="E22">
        <v>70</v>
      </c>
      <c r="F22" t="s">
        <v>165</v>
      </c>
      <c r="G22" t="s">
        <v>167</v>
      </c>
      <c r="H22" t="s">
        <v>167</v>
      </c>
      <c r="I22" t="s">
        <v>166</v>
      </c>
      <c r="J22">
        <v>150</v>
      </c>
      <c r="K22"/>
      <c r="L22">
        <v>10</v>
      </c>
      <c r="M22"/>
      <c r="N22">
        <v>1.5</v>
      </c>
      <c r="O22">
        <v>12</v>
      </c>
      <c r="P22">
        <v>350</v>
      </c>
      <c r="Q22">
        <v>5.5</v>
      </c>
      <c r="R22">
        <v>5.5</v>
      </c>
      <c r="S22">
        <v>2</v>
      </c>
      <c r="T22" s="18">
        <v>30</v>
      </c>
      <c r="U22" s="18">
        <v>89</v>
      </c>
      <c r="V22" s="2">
        <v>34</v>
      </c>
      <c r="W22" s="3">
        <v>24</v>
      </c>
      <c r="X22" s="3">
        <v>12</v>
      </c>
      <c r="Y22" s="3">
        <v>4</v>
      </c>
      <c r="Z22" s="3">
        <v>4</v>
      </c>
      <c r="AA22" s="8">
        <v>97</v>
      </c>
      <c r="AB22" s="3">
        <v>64</v>
      </c>
      <c r="AC22" s="3">
        <v>28</v>
      </c>
      <c r="AD22" s="3">
        <v>24</v>
      </c>
      <c r="AE22" s="8">
        <v>79</v>
      </c>
      <c r="AF22" s="3">
        <v>22</v>
      </c>
      <c r="AG22" s="3">
        <v>4</v>
      </c>
      <c r="AH22" s="4">
        <v>3</v>
      </c>
      <c r="AI22" s="4">
        <v>3</v>
      </c>
      <c r="AJ22" s="4">
        <v>27</v>
      </c>
      <c r="AK22" s="5">
        <v>3</v>
      </c>
      <c r="AL22" s="5">
        <v>15</v>
      </c>
      <c r="AM22" s="5">
        <v>15</v>
      </c>
      <c r="AN22" s="5">
        <v>3</v>
      </c>
      <c r="AO22" s="5">
        <v>3</v>
      </c>
      <c r="AP22" s="5">
        <v>33</v>
      </c>
      <c r="AQ22" s="5">
        <v>3</v>
      </c>
      <c r="AR22" s="6">
        <v>3</v>
      </c>
      <c r="AS22" s="6">
        <v>20</v>
      </c>
      <c r="AT22" s="6">
        <v>3</v>
      </c>
      <c r="AU22" s="7">
        <v>470</v>
      </c>
      <c r="AV22" s="6">
        <v>11</v>
      </c>
      <c r="AW22" s="6">
        <v>13</v>
      </c>
      <c r="AX22" s="6">
        <v>18</v>
      </c>
      <c r="AY22">
        <f t="shared" si="0"/>
        <v>42</v>
      </c>
      <c r="AZ22">
        <v>28</v>
      </c>
      <c r="BA22">
        <v>26.99</v>
      </c>
      <c r="BB22">
        <v>3</v>
      </c>
      <c r="BC22">
        <v>3</v>
      </c>
      <c r="BD22">
        <v>3</v>
      </c>
      <c r="BE22">
        <v>3</v>
      </c>
      <c r="BF22">
        <v>3</v>
      </c>
      <c r="BG22">
        <v>3</v>
      </c>
      <c r="BH22">
        <v>18</v>
      </c>
      <c r="BI22">
        <v>17.3</v>
      </c>
      <c r="BJ22">
        <v>4</v>
      </c>
      <c r="BK22" s="16" t="s">
        <v>169</v>
      </c>
      <c r="CE22" s="13" t="s">
        <v>74</v>
      </c>
      <c r="CH22">
        <v>20.89</v>
      </c>
      <c r="CI22" s="33">
        <v>10</v>
      </c>
    </row>
    <row r="23" spans="1:89">
      <c r="A23" s="14" t="s">
        <v>77</v>
      </c>
      <c r="B23">
        <v>53</v>
      </c>
      <c r="C23">
        <v>13</v>
      </c>
      <c r="D23" t="s">
        <v>106</v>
      </c>
      <c r="E23">
        <v>90</v>
      </c>
      <c r="F23" t="s">
        <v>165</v>
      </c>
      <c r="G23" t="s">
        <v>167</v>
      </c>
      <c r="H23" t="s">
        <v>167</v>
      </c>
      <c r="I23" t="s">
        <v>166</v>
      </c>
      <c r="J23">
        <v>850</v>
      </c>
      <c r="K23"/>
      <c r="L23"/>
      <c r="M23">
        <v>12</v>
      </c>
      <c r="N23">
        <v>2</v>
      </c>
      <c r="O23">
        <v>24</v>
      </c>
      <c r="P23">
        <v>1213</v>
      </c>
      <c r="Q23">
        <v>5</v>
      </c>
      <c r="R23">
        <v>5</v>
      </c>
      <c r="S23">
        <v>3</v>
      </c>
      <c r="T23" s="2">
        <v>78</v>
      </c>
      <c r="U23" s="2">
        <v>51</v>
      </c>
      <c r="V23" s="2">
        <v>83</v>
      </c>
      <c r="W23" s="8">
        <v>78</v>
      </c>
      <c r="X23" s="8">
        <v>89</v>
      </c>
      <c r="Y23" s="8">
        <v>77</v>
      </c>
      <c r="Z23" s="3">
        <v>74</v>
      </c>
      <c r="AA23" s="3">
        <v>15</v>
      </c>
      <c r="AB23" s="3">
        <v>72</v>
      </c>
      <c r="AC23" s="3">
        <v>45</v>
      </c>
      <c r="AD23" s="3">
        <v>50</v>
      </c>
      <c r="AE23" s="8">
        <v>100</v>
      </c>
      <c r="AF23" s="3">
        <v>59</v>
      </c>
      <c r="AG23" s="3">
        <v>56</v>
      </c>
      <c r="AH23" s="4">
        <v>70</v>
      </c>
      <c r="AI23" s="4">
        <v>73</v>
      </c>
      <c r="AJ23" s="4">
        <v>89</v>
      </c>
      <c r="AK23" s="5">
        <v>94</v>
      </c>
      <c r="AL23" s="5">
        <v>88</v>
      </c>
      <c r="AM23" s="5">
        <v>67</v>
      </c>
      <c r="AN23" s="5">
        <v>83</v>
      </c>
      <c r="AO23" s="5">
        <v>59</v>
      </c>
      <c r="AP23" s="5">
        <v>28</v>
      </c>
      <c r="AQ23" s="5">
        <v>72</v>
      </c>
      <c r="AR23" s="6">
        <v>70</v>
      </c>
      <c r="AS23" s="6">
        <v>92</v>
      </c>
      <c r="AT23" s="6">
        <v>61</v>
      </c>
      <c r="AU23" s="7" t="s">
        <v>129</v>
      </c>
      <c r="AV23" s="20">
        <v>21</v>
      </c>
      <c r="AW23" s="6">
        <v>18</v>
      </c>
      <c r="AX23" s="6">
        <v>31</v>
      </c>
      <c r="AY23">
        <f t="shared" si="0"/>
        <v>70</v>
      </c>
      <c r="AZ23">
        <v>27</v>
      </c>
      <c r="BA23">
        <v>25.99</v>
      </c>
      <c r="BB23">
        <v>3</v>
      </c>
      <c r="BC23">
        <v>3</v>
      </c>
      <c r="BD23">
        <v>2</v>
      </c>
      <c r="BE23">
        <v>3</v>
      </c>
      <c r="BF23">
        <v>1</v>
      </c>
      <c r="BG23">
        <v>3</v>
      </c>
      <c r="BH23">
        <v>15</v>
      </c>
      <c r="BI23">
        <v>14.9</v>
      </c>
      <c r="BJ23">
        <v>2</v>
      </c>
      <c r="BK23" s="16" t="s">
        <v>173</v>
      </c>
      <c r="CE23" s="14" t="s">
        <v>77</v>
      </c>
      <c r="CJ23">
        <v>0.4</v>
      </c>
      <c r="CK23">
        <v>12</v>
      </c>
    </row>
    <row r="24" spans="1:89">
      <c r="A24" s="14" t="s">
        <v>91</v>
      </c>
      <c r="B24">
        <v>60</v>
      </c>
      <c r="C24">
        <v>17</v>
      </c>
      <c r="D24" t="s">
        <v>106</v>
      </c>
      <c r="E24">
        <v>56.4</v>
      </c>
      <c r="F24" t="s">
        <v>165</v>
      </c>
      <c r="G24" t="s">
        <v>166</v>
      </c>
      <c r="H24" t="s">
        <v>166</v>
      </c>
      <c r="I24" t="s">
        <v>166</v>
      </c>
      <c r="J24">
        <v>500</v>
      </c>
      <c r="K24"/>
      <c r="L24"/>
      <c r="M24">
        <v>4</v>
      </c>
      <c r="N24">
        <v>3</v>
      </c>
      <c r="O24">
        <v>33</v>
      </c>
      <c r="P24" s="25"/>
      <c r="Q24">
        <v>16</v>
      </c>
      <c r="R24">
        <v>10</v>
      </c>
      <c r="S24">
        <v>11</v>
      </c>
      <c r="T24" s="2">
        <v>59</v>
      </c>
      <c r="U24" s="2">
        <v>74</v>
      </c>
      <c r="V24" s="2">
        <v>56</v>
      </c>
      <c r="W24" s="3">
        <v>70</v>
      </c>
      <c r="X24" s="3">
        <v>51</v>
      </c>
      <c r="Y24" s="3">
        <v>53</v>
      </c>
      <c r="Z24" s="3">
        <v>63</v>
      </c>
      <c r="AA24" s="3">
        <v>46</v>
      </c>
      <c r="AB24" s="3">
        <v>60</v>
      </c>
      <c r="AC24" s="3">
        <v>60</v>
      </c>
      <c r="AD24" s="3">
        <v>33</v>
      </c>
      <c r="AE24" s="8">
        <v>93</v>
      </c>
      <c r="AF24" s="3">
        <v>54</v>
      </c>
      <c r="AG24" s="3">
        <v>10</v>
      </c>
      <c r="AH24" s="4">
        <v>60</v>
      </c>
      <c r="AI24" s="4">
        <v>7</v>
      </c>
      <c r="AJ24" s="4">
        <v>60</v>
      </c>
      <c r="AK24" s="5">
        <v>70</v>
      </c>
      <c r="AL24" s="5">
        <v>66</v>
      </c>
      <c r="AM24" s="5">
        <v>48</v>
      </c>
      <c r="AN24" s="5">
        <v>70</v>
      </c>
      <c r="AO24" s="5">
        <v>61</v>
      </c>
      <c r="AP24" s="5">
        <v>30</v>
      </c>
      <c r="AQ24" s="5">
        <v>36</v>
      </c>
      <c r="AR24" s="6">
        <v>60</v>
      </c>
      <c r="AS24" s="6">
        <v>34</v>
      </c>
      <c r="AT24" s="6">
        <v>12</v>
      </c>
      <c r="AU24" s="7">
        <v>700</v>
      </c>
      <c r="AV24">
        <v>15</v>
      </c>
      <c r="AW24">
        <v>20</v>
      </c>
      <c r="AX24">
        <v>19</v>
      </c>
      <c r="AY24">
        <f t="shared" si="0"/>
        <v>54</v>
      </c>
      <c r="AZ24">
        <v>28</v>
      </c>
      <c r="BA24">
        <v>25.2</v>
      </c>
      <c r="BB24">
        <v>3</v>
      </c>
      <c r="BC24">
        <v>3</v>
      </c>
      <c r="BD24">
        <v>3</v>
      </c>
      <c r="BE24">
        <v>3</v>
      </c>
      <c r="BF24">
        <v>1</v>
      </c>
      <c r="BG24">
        <v>3</v>
      </c>
      <c r="BH24">
        <v>16</v>
      </c>
      <c r="BI24">
        <v>15.2</v>
      </c>
      <c r="BJ24">
        <v>2</v>
      </c>
      <c r="BK24" s="16" t="s">
        <v>181</v>
      </c>
      <c r="CE24" s="14" t="s">
        <v>91</v>
      </c>
      <c r="CJ24">
        <v>1.66</v>
      </c>
      <c r="CK24">
        <v>4</v>
      </c>
    </row>
    <row r="25" spans="1:89">
      <c r="A25" s="12" t="s">
        <v>93</v>
      </c>
      <c r="B25">
        <v>61</v>
      </c>
      <c r="C25">
        <v>13</v>
      </c>
      <c r="D25" t="s">
        <v>107</v>
      </c>
      <c r="E25">
        <v>67</v>
      </c>
      <c r="F25" t="s">
        <v>165</v>
      </c>
      <c r="G25" t="s">
        <v>167</v>
      </c>
      <c r="H25" t="s">
        <v>166</v>
      </c>
      <c r="I25" t="s">
        <v>166</v>
      </c>
      <c r="J25">
        <v>550</v>
      </c>
      <c r="K25">
        <v>0.52</v>
      </c>
      <c r="L25"/>
      <c r="M25"/>
      <c r="N25">
        <v>2</v>
      </c>
      <c r="O25">
        <v>22</v>
      </c>
      <c r="P25">
        <v>602</v>
      </c>
      <c r="Q25">
        <v>8</v>
      </c>
      <c r="R25">
        <v>2</v>
      </c>
      <c r="S25">
        <v>7</v>
      </c>
      <c r="T25" s="18">
        <v>31</v>
      </c>
      <c r="U25" s="2">
        <v>70</v>
      </c>
      <c r="V25" s="2">
        <v>0</v>
      </c>
      <c r="W25" s="3">
        <v>20</v>
      </c>
      <c r="X25" s="3">
        <v>11</v>
      </c>
      <c r="Y25" s="3">
        <v>3</v>
      </c>
      <c r="Z25" s="3">
        <v>53</v>
      </c>
      <c r="AA25" s="3">
        <v>73</v>
      </c>
      <c r="AB25" s="8">
        <v>82</v>
      </c>
      <c r="AC25" s="3">
        <v>11</v>
      </c>
      <c r="AD25" s="3">
        <v>23</v>
      </c>
      <c r="AE25" s="3">
        <v>73</v>
      </c>
      <c r="AF25" s="3">
        <v>15</v>
      </c>
      <c r="AG25" s="3">
        <v>3</v>
      </c>
      <c r="AH25" s="4">
        <v>2</v>
      </c>
      <c r="AI25" s="4">
        <v>2</v>
      </c>
      <c r="AJ25" s="4">
        <v>2</v>
      </c>
      <c r="AK25" s="5">
        <v>2</v>
      </c>
      <c r="AL25" s="5">
        <v>2</v>
      </c>
      <c r="AM25" s="5">
        <v>50</v>
      </c>
      <c r="AN25" s="5">
        <v>2</v>
      </c>
      <c r="AO25" s="5">
        <v>2</v>
      </c>
      <c r="AP25" s="5">
        <v>22</v>
      </c>
      <c r="AQ25" s="5">
        <v>2</v>
      </c>
      <c r="AR25" s="6">
        <v>2</v>
      </c>
      <c r="AS25" s="6">
        <v>2</v>
      </c>
      <c r="AT25" s="6">
        <v>22</v>
      </c>
      <c r="AU25" s="7">
        <v>500</v>
      </c>
      <c r="AV25">
        <v>15</v>
      </c>
      <c r="AW25">
        <v>18</v>
      </c>
      <c r="AX25">
        <v>25</v>
      </c>
      <c r="AY25">
        <f t="shared" si="0"/>
        <v>58</v>
      </c>
      <c r="AZ25">
        <v>28</v>
      </c>
      <c r="BA25">
        <v>27.49</v>
      </c>
      <c r="BB25">
        <v>3</v>
      </c>
      <c r="BC25">
        <v>2</v>
      </c>
      <c r="BD25">
        <v>2</v>
      </c>
      <c r="BE25">
        <v>3</v>
      </c>
      <c r="BF25">
        <v>3</v>
      </c>
      <c r="BG25">
        <v>3</v>
      </c>
      <c r="BH25">
        <v>16</v>
      </c>
      <c r="BI25">
        <v>16.3</v>
      </c>
      <c r="BJ25">
        <v>3</v>
      </c>
      <c r="BK25" s="16" t="s">
        <v>208</v>
      </c>
      <c r="CE25" s="12" t="s">
        <v>93</v>
      </c>
      <c r="CF25">
        <v>1.6</v>
      </c>
      <c r="CG25">
        <v>0.52</v>
      </c>
    </row>
    <row r="26" spans="1:89">
      <c r="A26" s="16" t="s">
        <v>94</v>
      </c>
      <c r="B26">
        <v>82</v>
      </c>
      <c r="C26">
        <v>8</v>
      </c>
      <c r="D26" t="s">
        <v>107</v>
      </c>
      <c r="E26">
        <v>70</v>
      </c>
      <c r="F26" t="s">
        <v>165</v>
      </c>
      <c r="G26" t="s">
        <v>167</v>
      </c>
      <c r="H26" t="s">
        <v>167</v>
      </c>
      <c r="I26" t="s">
        <v>166</v>
      </c>
      <c r="J26">
        <v>300</v>
      </c>
      <c r="K26">
        <v>0.36</v>
      </c>
      <c r="L26"/>
      <c r="M26"/>
      <c r="N26">
        <v>2</v>
      </c>
      <c r="O26">
        <v>30</v>
      </c>
      <c r="P26">
        <v>336</v>
      </c>
      <c r="Q26">
        <v>5</v>
      </c>
      <c r="R26">
        <v>4</v>
      </c>
      <c r="S26">
        <v>5</v>
      </c>
      <c r="T26" s="2">
        <v>35</v>
      </c>
      <c r="U26" s="2">
        <v>74</v>
      </c>
      <c r="V26" s="2">
        <v>61</v>
      </c>
      <c r="W26" s="3">
        <v>60</v>
      </c>
      <c r="X26" s="3">
        <v>24</v>
      </c>
      <c r="Y26" s="3">
        <v>24</v>
      </c>
      <c r="Z26" s="3">
        <v>40</v>
      </c>
      <c r="AA26" s="3">
        <v>41</v>
      </c>
      <c r="AB26" s="3">
        <v>46</v>
      </c>
      <c r="AC26" s="3">
        <v>8</v>
      </c>
      <c r="AD26" s="3">
        <v>6</v>
      </c>
      <c r="AE26" s="8">
        <v>103</v>
      </c>
      <c r="AF26" s="3">
        <v>30</v>
      </c>
      <c r="AG26" s="3">
        <v>14</v>
      </c>
      <c r="AH26" s="4">
        <v>29</v>
      </c>
      <c r="AI26" s="4">
        <v>7</v>
      </c>
      <c r="AJ26" s="4">
        <v>36</v>
      </c>
      <c r="AK26" s="5">
        <v>20</v>
      </c>
      <c r="AL26" s="5">
        <v>72</v>
      </c>
      <c r="AM26" s="5">
        <v>0</v>
      </c>
      <c r="AN26" s="5">
        <v>75</v>
      </c>
      <c r="AO26" s="5">
        <v>30</v>
      </c>
      <c r="AP26" s="5">
        <v>20</v>
      </c>
      <c r="AQ26" s="5">
        <v>0</v>
      </c>
      <c r="AR26" s="6">
        <v>50</v>
      </c>
      <c r="AS26" s="6">
        <v>63</v>
      </c>
      <c r="AT26" s="6">
        <v>0</v>
      </c>
      <c r="AU26" s="7">
        <v>700</v>
      </c>
      <c r="AV26">
        <v>16</v>
      </c>
      <c r="AW26">
        <v>20</v>
      </c>
      <c r="AX26" s="1">
        <v>31</v>
      </c>
      <c r="AY26">
        <f t="shared" si="0"/>
        <v>67</v>
      </c>
      <c r="AZ26">
        <v>20</v>
      </c>
      <c r="BA26" s="1">
        <v>19.7</v>
      </c>
      <c r="BB26">
        <v>2</v>
      </c>
      <c r="BC26">
        <v>0</v>
      </c>
      <c r="BD26">
        <v>2</v>
      </c>
      <c r="BE26">
        <v>3</v>
      </c>
      <c r="BF26">
        <v>1</v>
      </c>
      <c r="BG26">
        <v>3</v>
      </c>
      <c r="BH26">
        <v>11</v>
      </c>
      <c r="BI26">
        <v>12.2</v>
      </c>
      <c r="BJ26" s="1">
        <v>0</v>
      </c>
      <c r="BK26" s="16" t="s">
        <v>168</v>
      </c>
      <c r="CE26" s="16" t="s">
        <v>94</v>
      </c>
      <c r="CF26">
        <v>1.1200000000000001</v>
      </c>
      <c r="CG26">
        <v>0.36</v>
      </c>
    </row>
    <row r="27" spans="1:89">
      <c r="A27" s="17" t="s">
        <v>95</v>
      </c>
      <c r="B27">
        <v>77</v>
      </c>
      <c r="C27">
        <v>17</v>
      </c>
      <c r="D27" t="s">
        <v>106</v>
      </c>
      <c r="E27">
        <v>64</v>
      </c>
      <c r="F27" t="s">
        <v>165</v>
      </c>
      <c r="G27" t="s">
        <v>166</v>
      </c>
      <c r="H27" t="s">
        <v>167</v>
      </c>
      <c r="I27" t="s">
        <v>167</v>
      </c>
      <c r="J27">
        <v>875</v>
      </c>
      <c r="K27"/>
      <c r="L27">
        <v>4</v>
      </c>
      <c r="M27"/>
      <c r="N27">
        <v>2</v>
      </c>
      <c r="O27">
        <v>33</v>
      </c>
      <c r="P27">
        <v>955</v>
      </c>
      <c r="Q27">
        <v>7</v>
      </c>
      <c r="R27">
        <v>7</v>
      </c>
      <c r="S27">
        <v>6</v>
      </c>
      <c r="T27" s="2">
        <v>75</v>
      </c>
      <c r="U27" s="2">
        <v>39</v>
      </c>
      <c r="V27" s="2">
        <v>81</v>
      </c>
      <c r="W27" s="8">
        <v>85</v>
      </c>
      <c r="X27" s="8">
        <v>101</v>
      </c>
      <c r="Y27" s="8">
        <v>97</v>
      </c>
      <c r="Z27" s="8">
        <v>90</v>
      </c>
      <c r="AA27" s="3">
        <v>9</v>
      </c>
      <c r="AB27" s="3">
        <v>15</v>
      </c>
      <c r="AC27" s="3">
        <v>12</v>
      </c>
      <c r="AD27" s="3">
        <v>13</v>
      </c>
      <c r="AE27" s="8">
        <v>80</v>
      </c>
      <c r="AF27" s="3">
        <v>62</v>
      </c>
      <c r="AG27" s="3">
        <v>57</v>
      </c>
      <c r="AH27" s="4">
        <v>68</v>
      </c>
      <c r="AI27" s="4">
        <v>29</v>
      </c>
      <c r="AJ27" s="4">
        <v>65</v>
      </c>
      <c r="AK27" s="5">
        <v>108</v>
      </c>
      <c r="AL27" s="5">
        <v>100</v>
      </c>
      <c r="AM27" s="5">
        <v>0</v>
      </c>
      <c r="AN27" s="5">
        <v>85</v>
      </c>
      <c r="AO27" s="5">
        <v>0</v>
      </c>
      <c r="AP27" s="5">
        <v>30</v>
      </c>
      <c r="AQ27" s="5">
        <v>74</v>
      </c>
      <c r="AR27" s="6">
        <v>68</v>
      </c>
      <c r="AS27" s="6">
        <v>97</v>
      </c>
      <c r="AT27" s="6">
        <v>0</v>
      </c>
      <c r="AU27" s="7" t="s">
        <v>131</v>
      </c>
      <c r="AV27">
        <v>14</v>
      </c>
      <c r="AW27">
        <v>18</v>
      </c>
      <c r="AX27">
        <v>25</v>
      </c>
      <c r="AY27">
        <f t="shared" si="0"/>
        <v>57</v>
      </c>
      <c r="AZ27">
        <v>29</v>
      </c>
      <c r="BA27">
        <v>27.3</v>
      </c>
      <c r="BB27">
        <v>3</v>
      </c>
      <c r="BC27">
        <v>3</v>
      </c>
      <c r="BD27">
        <v>3</v>
      </c>
      <c r="BE27">
        <v>2</v>
      </c>
      <c r="BF27">
        <v>1</v>
      </c>
      <c r="BG27">
        <v>3</v>
      </c>
      <c r="BH27">
        <v>15</v>
      </c>
      <c r="BI27">
        <v>14.7</v>
      </c>
      <c r="BJ27">
        <v>2</v>
      </c>
      <c r="BK27" s="16" t="s">
        <v>209</v>
      </c>
      <c r="CE27" s="17" t="s">
        <v>95</v>
      </c>
      <c r="CH27">
        <v>9.6300000000000008</v>
      </c>
      <c r="CI27" s="33">
        <v>4</v>
      </c>
    </row>
    <row r="28" spans="1:89">
      <c r="A28" s="17" t="s">
        <v>96</v>
      </c>
      <c r="B28">
        <v>53</v>
      </c>
      <c r="C28">
        <v>13</v>
      </c>
      <c r="D28" t="s">
        <v>107</v>
      </c>
      <c r="E28">
        <v>80</v>
      </c>
      <c r="F28" t="s">
        <v>165</v>
      </c>
      <c r="G28" t="s">
        <v>167</v>
      </c>
      <c r="H28" t="s">
        <v>167</v>
      </c>
      <c r="I28" t="s">
        <v>166</v>
      </c>
      <c r="J28">
        <v>200</v>
      </c>
      <c r="K28"/>
      <c r="L28">
        <v>4</v>
      </c>
      <c r="M28"/>
      <c r="N28">
        <v>2</v>
      </c>
      <c r="O28">
        <v>22</v>
      </c>
      <c r="P28">
        <v>280</v>
      </c>
      <c r="Q28">
        <v>2.25</v>
      </c>
      <c r="R28">
        <v>1</v>
      </c>
      <c r="S28">
        <v>0.8</v>
      </c>
      <c r="T28" s="18">
        <v>32</v>
      </c>
      <c r="U28" s="18">
        <v>94</v>
      </c>
      <c r="V28" s="2">
        <v>34</v>
      </c>
      <c r="W28" s="3">
        <v>2</v>
      </c>
      <c r="X28" s="3">
        <v>2</v>
      </c>
      <c r="Y28" s="3">
        <v>2</v>
      </c>
      <c r="Z28" s="3">
        <v>22</v>
      </c>
      <c r="AA28" s="8">
        <v>87</v>
      </c>
      <c r="AB28" s="3">
        <v>62</v>
      </c>
      <c r="AC28" s="3">
        <v>10</v>
      </c>
      <c r="AD28" s="3">
        <v>2</v>
      </c>
      <c r="AE28" s="8">
        <v>110</v>
      </c>
      <c r="AF28" s="3">
        <v>20</v>
      </c>
      <c r="AG28" s="3">
        <v>2</v>
      </c>
      <c r="AH28" s="4">
        <v>62</v>
      </c>
      <c r="AI28" s="4">
        <v>2</v>
      </c>
      <c r="AJ28" s="4">
        <v>50</v>
      </c>
      <c r="AK28" s="5">
        <v>2</v>
      </c>
      <c r="AL28" s="5">
        <v>2</v>
      </c>
      <c r="AM28" s="5">
        <v>2</v>
      </c>
      <c r="AN28" s="5">
        <v>2</v>
      </c>
      <c r="AO28" s="5">
        <v>32</v>
      </c>
      <c r="AP28" s="5">
        <v>22</v>
      </c>
      <c r="AQ28" s="5">
        <v>2</v>
      </c>
      <c r="AR28" s="6">
        <v>2</v>
      </c>
      <c r="AS28" s="6">
        <v>2</v>
      </c>
      <c r="AT28" s="6">
        <v>22</v>
      </c>
      <c r="AU28" s="7">
        <v>740</v>
      </c>
      <c r="AV28">
        <v>12</v>
      </c>
      <c r="AW28">
        <v>14</v>
      </c>
      <c r="AX28">
        <v>22</v>
      </c>
      <c r="AY28">
        <f t="shared" si="0"/>
        <v>48</v>
      </c>
      <c r="AZ28">
        <v>29</v>
      </c>
      <c r="BA28">
        <v>27.99</v>
      </c>
      <c r="BB28">
        <v>2</v>
      </c>
      <c r="BC28">
        <v>2</v>
      </c>
      <c r="BD28">
        <v>3</v>
      </c>
      <c r="BE28">
        <v>3</v>
      </c>
      <c r="BF28">
        <v>1</v>
      </c>
      <c r="BG28">
        <v>3</v>
      </c>
      <c r="BH28">
        <v>14</v>
      </c>
      <c r="BI28">
        <v>13.2</v>
      </c>
      <c r="BJ28" s="1">
        <v>0</v>
      </c>
      <c r="BK28" s="16" t="s">
        <v>210</v>
      </c>
      <c r="CE28" s="17" t="s">
        <v>96</v>
      </c>
      <c r="CH28">
        <v>8.6999999999999993</v>
      </c>
      <c r="CI28" s="33">
        <v>4</v>
      </c>
    </row>
    <row r="29" spans="1:89">
      <c r="A29" s="12" t="s">
        <v>97</v>
      </c>
      <c r="B29">
        <v>69</v>
      </c>
      <c r="C29">
        <v>11</v>
      </c>
      <c r="D29" t="s">
        <v>107</v>
      </c>
      <c r="E29">
        <v>60</v>
      </c>
      <c r="F29" t="s">
        <v>165</v>
      </c>
      <c r="G29" t="s">
        <v>167</v>
      </c>
      <c r="H29" t="s">
        <v>167</v>
      </c>
      <c r="I29" t="s">
        <v>166</v>
      </c>
      <c r="J29">
        <v>500</v>
      </c>
      <c r="K29">
        <v>1.06</v>
      </c>
      <c r="L29"/>
      <c r="M29"/>
      <c r="N29">
        <v>2.5</v>
      </c>
      <c r="O29">
        <v>34</v>
      </c>
      <c r="P29">
        <v>606</v>
      </c>
      <c r="Q29">
        <v>8</v>
      </c>
      <c r="R29">
        <v>7</v>
      </c>
      <c r="S29">
        <v>7</v>
      </c>
      <c r="T29" s="2">
        <v>43</v>
      </c>
      <c r="U29" s="18">
        <v>89</v>
      </c>
      <c r="V29" s="2">
        <v>45</v>
      </c>
      <c r="W29" s="3">
        <v>34</v>
      </c>
      <c r="X29" s="3">
        <v>8</v>
      </c>
      <c r="Y29" s="3">
        <v>17</v>
      </c>
      <c r="Z29" s="3">
        <v>60</v>
      </c>
      <c r="AA29" s="8">
        <v>89</v>
      </c>
      <c r="AB29" s="3">
        <v>60</v>
      </c>
      <c r="AC29" s="3">
        <v>34</v>
      </c>
      <c r="AD29" s="3">
        <v>20</v>
      </c>
      <c r="AE29" s="8">
        <v>80</v>
      </c>
      <c r="AF29" s="3">
        <v>12</v>
      </c>
      <c r="AG29" s="3">
        <v>0</v>
      </c>
      <c r="AH29" s="4">
        <v>0</v>
      </c>
      <c r="AI29" s="4">
        <v>8</v>
      </c>
      <c r="AJ29" s="4">
        <v>24</v>
      </c>
      <c r="AK29" s="5">
        <v>60</v>
      </c>
      <c r="AL29" s="5">
        <v>70</v>
      </c>
      <c r="AM29" s="5">
        <v>36</v>
      </c>
      <c r="AN29" s="5">
        <v>30</v>
      </c>
      <c r="AO29" s="5">
        <v>45</v>
      </c>
      <c r="AP29" s="5">
        <v>40</v>
      </c>
      <c r="AQ29" s="5">
        <v>0</v>
      </c>
      <c r="AR29" s="6">
        <v>50</v>
      </c>
      <c r="AS29" s="6">
        <v>48</v>
      </c>
      <c r="AT29" s="6">
        <v>0</v>
      </c>
      <c r="AU29" s="7">
        <v>470</v>
      </c>
      <c r="AV29">
        <v>13</v>
      </c>
      <c r="AW29">
        <v>17</v>
      </c>
      <c r="AX29">
        <v>25</v>
      </c>
      <c r="AY29">
        <f t="shared" si="0"/>
        <v>55</v>
      </c>
      <c r="AZ29">
        <v>29</v>
      </c>
      <c r="BA29">
        <v>27</v>
      </c>
      <c r="BB29">
        <v>2</v>
      </c>
      <c r="BC29">
        <v>3</v>
      </c>
      <c r="BD29">
        <v>3</v>
      </c>
      <c r="BE29">
        <v>3</v>
      </c>
      <c r="BF29">
        <v>1</v>
      </c>
      <c r="BG29">
        <v>3</v>
      </c>
      <c r="BH29">
        <v>15</v>
      </c>
      <c r="BI29">
        <v>15.4</v>
      </c>
      <c r="BJ29">
        <v>3</v>
      </c>
      <c r="BK29" s="16" t="s">
        <v>208</v>
      </c>
      <c r="CE29" s="12" t="s">
        <v>97</v>
      </c>
      <c r="CF29">
        <v>2.2999999999999998</v>
      </c>
      <c r="CG29">
        <v>1.06</v>
      </c>
    </row>
    <row r="30" spans="1:89">
      <c r="A30" s="12" t="s">
        <v>98</v>
      </c>
      <c r="B30">
        <v>64</v>
      </c>
      <c r="C30">
        <v>8</v>
      </c>
      <c r="D30" t="s">
        <v>106</v>
      </c>
      <c r="E30">
        <v>61</v>
      </c>
      <c r="F30" t="s">
        <v>165</v>
      </c>
      <c r="G30" t="s">
        <v>166</v>
      </c>
      <c r="H30" t="s">
        <v>167</v>
      </c>
      <c r="I30" t="s">
        <v>166</v>
      </c>
      <c r="J30">
        <v>300</v>
      </c>
      <c r="K30">
        <v>0.18</v>
      </c>
      <c r="L30"/>
      <c r="M30"/>
      <c r="N30">
        <v>2</v>
      </c>
      <c r="O30">
        <v>15</v>
      </c>
      <c r="P30">
        <v>318</v>
      </c>
      <c r="Q30">
        <v>3</v>
      </c>
      <c r="R30">
        <v>2</v>
      </c>
      <c r="S30">
        <v>2</v>
      </c>
      <c r="T30" s="2">
        <v>61</v>
      </c>
      <c r="U30" s="18">
        <v>84</v>
      </c>
      <c r="V30" s="2">
        <v>63</v>
      </c>
      <c r="W30" s="3">
        <v>50</v>
      </c>
      <c r="X30" s="3">
        <v>33</v>
      </c>
      <c r="Y30" s="3">
        <v>44</v>
      </c>
      <c r="Z30" s="3">
        <v>60</v>
      </c>
      <c r="AA30" s="3">
        <v>60</v>
      </c>
      <c r="AB30" s="3">
        <v>55</v>
      </c>
      <c r="AC30" s="3">
        <v>60</v>
      </c>
      <c r="AD30" s="3">
        <v>63</v>
      </c>
      <c r="AE30" s="8">
        <v>113</v>
      </c>
      <c r="AF30" s="3">
        <v>62</v>
      </c>
      <c r="AG30" s="3">
        <v>38</v>
      </c>
      <c r="AH30" s="4">
        <v>61</v>
      </c>
      <c r="AI30" s="4">
        <v>28</v>
      </c>
      <c r="AJ30" s="4">
        <v>65</v>
      </c>
      <c r="AK30" s="5">
        <v>85</v>
      </c>
      <c r="AL30" s="5">
        <v>24</v>
      </c>
      <c r="AM30" s="5">
        <v>63</v>
      </c>
      <c r="AN30" s="5">
        <v>70</v>
      </c>
      <c r="AO30" s="5">
        <v>40</v>
      </c>
      <c r="AP30" s="5">
        <v>60</v>
      </c>
      <c r="AQ30" s="5">
        <v>64</v>
      </c>
      <c r="AR30" s="6">
        <v>61</v>
      </c>
      <c r="AS30" s="6">
        <v>17</v>
      </c>
      <c r="AT30" s="6">
        <v>36</v>
      </c>
      <c r="AU30" s="7">
        <v>700</v>
      </c>
      <c r="AV30">
        <v>19</v>
      </c>
      <c r="AW30">
        <v>16</v>
      </c>
      <c r="AX30">
        <v>19</v>
      </c>
      <c r="AY30">
        <f t="shared" si="0"/>
        <v>54</v>
      </c>
      <c r="AZ30">
        <v>30</v>
      </c>
      <c r="BA30">
        <v>30</v>
      </c>
      <c r="BB30">
        <v>3</v>
      </c>
      <c r="BC30">
        <v>3</v>
      </c>
      <c r="BD30">
        <v>3</v>
      </c>
      <c r="BE30">
        <v>3</v>
      </c>
      <c r="BF30">
        <v>1</v>
      </c>
      <c r="BG30">
        <v>3</v>
      </c>
      <c r="BH30">
        <v>16</v>
      </c>
      <c r="BI30">
        <v>16.3</v>
      </c>
      <c r="BJ30">
        <v>3</v>
      </c>
      <c r="BK30" s="16" t="s">
        <v>182</v>
      </c>
      <c r="CE30" s="12" t="s">
        <v>98</v>
      </c>
      <c r="CF30">
        <v>0.55000000000000004</v>
      </c>
      <c r="CG30">
        <v>0.18</v>
      </c>
    </row>
    <row r="31" spans="1:89">
      <c r="A31" s="15" t="s">
        <v>99</v>
      </c>
      <c r="B31">
        <v>77</v>
      </c>
      <c r="C31">
        <v>13</v>
      </c>
      <c r="D31" t="s">
        <v>106</v>
      </c>
      <c r="E31">
        <v>64</v>
      </c>
      <c r="F31" t="s">
        <v>165</v>
      </c>
      <c r="G31" t="s">
        <v>167</v>
      </c>
      <c r="H31" t="s">
        <v>167</v>
      </c>
      <c r="I31" t="s">
        <v>166</v>
      </c>
      <c r="J31">
        <v>750</v>
      </c>
      <c r="K31"/>
      <c r="L31"/>
      <c r="M31">
        <v>8</v>
      </c>
      <c r="N31">
        <v>4</v>
      </c>
      <c r="O31">
        <v>52</v>
      </c>
      <c r="P31">
        <v>1367</v>
      </c>
      <c r="Q31" s="1">
        <v>9</v>
      </c>
      <c r="R31">
        <v>3</v>
      </c>
      <c r="S31">
        <v>8</v>
      </c>
      <c r="T31" s="2">
        <v>77</v>
      </c>
      <c r="U31" s="2">
        <v>35</v>
      </c>
      <c r="V31" s="2">
        <v>76</v>
      </c>
      <c r="W31" s="19">
        <v>112</v>
      </c>
      <c r="X31" s="8">
        <v>102</v>
      </c>
      <c r="Y31" s="3">
        <v>71</v>
      </c>
      <c r="Z31" s="8">
        <v>76</v>
      </c>
      <c r="AA31" s="3">
        <v>15</v>
      </c>
      <c r="AB31" s="3">
        <v>27</v>
      </c>
      <c r="AC31" s="3">
        <v>58</v>
      </c>
      <c r="AD31" s="3">
        <v>58</v>
      </c>
      <c r="AE31" s="8">
        <v>77</v>
      </c>
      <c r="AF31" s="3">
        <v>61</v>
      </c>
      <c r="AG31" s="3">
        <v>58</v>
      </c>
      <c r="AH31" s="4">
        <v>63</v>
      </c>
      <c r="AI31" s="4">
        <v>49</v>
      </c>
      <c r="AJ31" s="4">
        <v>67</v>
      </c>
      <c r="AK31" s="5">
        <v>78</v>
      </c>
      <c r="AL31" s="5">
        <v>88</v>
      </c>
      <c r="AM31" s="5">
        <v>46</v>
      </c>
      <c r="AN31" s="5">
        <v>78</v>
      </c>
      <c r="AO31" s="5">
        <v>61</v>
      </c>
      <c r="AP31" s="5">
        <v>28</v>
      </c>
      <c r="AQ31" s="5">
        <v>68</v>
      </c>
      <c r="AR31" s="6">
        <v>64</v>
      </c>
      <c r="AS31" s="6">
        <v>89</v>
      </c>
      <c r="AT31" s="6">
        <v>22</v>
      </c>
      <c r="AU31" s="7" t="s">
        <v>113</v>
      </c>
      <c r="AV31">
        <v>16</v>
      </c>
      <c r="AW31">
        <v>18</v>
      </c>
      <c r="AX31">
        <v>26</v>
      </c>
      <c r="AY31">
        <f t="shared" si="0"/>
        <v>60</v>
      </c>
      <c r="AZ31">
        <v>27</v>
      </c>
      <c r="BA31">
        <v>25.3</v>
      </c>
      <c r="BB31">
        <v>2</v>
      </c>
      <c r="BC31">
        <v>2</v>
      </c>
      <c r="BD31">
        <v>1</v>
      </c>
      <c r="BE31">
        <v>1</v>
      </c>
      <c r="BF31">
        <v>0</v>
      </c>
      <c r="BG31">
        <v>3</v>
      </c>
      <c r="BH31">
        <v>9</v>
      </c>
      <c r="BI31">
        <v>9.1999999999999993</v>
      </c>
      <c r="BJ31" s="1">
        <v>0</v>
      </c>
      <c r="BK31" s="16" t="s">
        <v>208</v>
      </c>
      <c r="CE31" s="15" t="s">
        <v>99</v>
      </c>
      <c r="CJ31">
        <v>0.25</v>
      </c>
      <c r="CK31">
        <v>8</v>
      </c>
    </row>
    <row r="32" spans="1:89">
      <c r="A32" s="12" t="s">
        <v>111</v>
      </c>
      <c r="B32">
        <v>71</v>
      </c>
      <c r="C32">
        <v>13</v>
      </c>
      <c r="D32" t="s">
        <v>106</v>
      </c>
      <c r="E32">
        <v>64</v>
      </c>
      <c r="F32" s="1" t="s">
        <v>171</v>
      </c>
      <c r="G32" t="s">
        <v>166</v>
      </c>
      <c r="H32" t="s">
        <v>167</v>
      </c>
      <c r="I32" t="s">
        <v>166</v>
      </c>
      <c r="J32">
        <v>400</v>
      </c>
      <c r="K32">
        <v>2.1</v>
      </c>
      <c r="L32"/>
      <c r="M32"/>
      <c r="N32">
        <v>3</v>
      </c>
      <c r="O32">
        <v>40</v>
      </c>
      <c r="P32" s="25"/>
      <c r="Q32">
        <v>5</v>
      </c>
      <c r="R32">
        <v>5</v>
      </c>
      <c r="S32">
        <v>4</v>
      </c>
      <c r="T32" s="2">
        <v>73</v>
      </c>
      <c r="U32" s="2">
        <v>74</v>
      </c>
      <c r="V32" s="2">
        <v>70</v>
      </c>
      <c r="W32" s="3">
        <v>68</v>
      </c>
      <c r="X32" s="3">
        <v>68</v>
      </c>
      <c r="Y32" s="3">
        <v>36</v>
      </c>
      <c r="Z32" s="3">
        <v>67</v>
      </c>
      <c r="AA32" s="3">
        <v>67</v>
      </c>
      <c r="AB32" s="8">
        <v>98</v>
      </c>
      <c r="AC32" s="3">
        <v>68</v>
      </c>
      <c r="AD32" s="3">
        <v>63</v>
      </c>
      <c r="AE32" s="3">
        <v>63</v>
      </c>
      <c r="AF32" s="3">
        <v>68</v>
      </c>
      <c r="AG32" s="3">
        <v>46</v>
      </c>
      <c r="AH32" s="4">
        <v>63</v>
      </c>
      <c r="AI32" s="4">
        <v>41</v>
      </c>
      <c r="AJ32" s="4">
        <v>85</v>
      </c>
      <c r="AK32" s="5">
        <v>96</v>
      </c>
      <c r="AL32" s="5">
        <v>100</v>
      </c>
      <c r="AM32" s="5">
        <v>65</v>
      </c>
      <c r="AN32" s="5">
        <v>77</v>
      </c>
      <c r="AO32" s="5">
        <v>68</v>
      </c>
      <c r="AP32" s="5">
        <v>63</v>
      </c>
      <c r="AQ32" s="5">
        <v>60</v>
      </c>
      <c r="AR32" s="6">
        <v>45</v>
      </c>
      <c r="AS32" s="6">
        <v>78</v>
      </c>
      <c r="AT32" s="6">
        <v>77</v>
      </c>
      <c r="AU32" s="7">
        <v>500</v>
      </c>
      <c r="AV32">
        <v>14</v>
      </c>
      <c r="AW32">
        <v>23</v>
      </c>
      <c r="AX32">
        <v>25</v>
      </c>
      <c r="AY32">
        <f t="shared" si="0"/>
        <v>62</v>
      </c>
      <c r="AZ32">
        <v>25</v>
      </c>
      <c r="BA32" s="1">
        <v>23.4</v>
      </c>
      <c r="BB32">
        <v>2</v>
      </c>
      <c r="BC32">
        <v>1</v>
      </c>
      <c r="BD32">
        <v>1</v>
      </c>
      <c r="BE32">
        <v>3</v>
      </c>
      <c r="BF32">
        <v>1</v>
      </c>
      <c r="BG32">
        <v>3</v>
      </c>
      <c r="BH32">
        <v>11</v>
      </c>
      <c r="BI32">
        <v>10.9</v>
      </c>
      <c r="BJ32" s="1">
        <v>0</v>
      </c>
      <c r="BK32" s="16" t="s">
        <v>181</v>
      </c>
      <c r="CE32" s="12" t="s">
        <v>111</v>
      </c>
      <c r="CF32">
        <v>4</v>
      </c>
      <c r="CG32">
        <v>2.1</v>
      </c>
    </row>
    <row r="33" spans="1:89">
      <c r="A33" s="12" t="s">
        <v>110</v>
      </c>
      <c r="B33">
        <v>73</v>
      </c>
      <c r="C33">
        <v>9</v>
      </c>
      <c r="D33" t="s">
        <v>106</v>
      </c>
      <c r="E33">
        <v>48</v>
      </c>
      <c r="F33" t="s">
        <v>165</v>
      </c>
      <c r="G33" t="s">
        <v>166</v>
      </c>
      <c r="H33" t="s">
        <v>166</v>
      </c>
      <c r="I33" t="s">
        <v>166</v>
      </c>
      <c r="J33">
        <v>600</v>
      </c>
      <c r="K33">
        <v>0.7</v>
      </c>
      <c r="L33"/>
      <c r="M33"/>
      <c r="N33">
        <v>3</v>
      </c>
      <c r="O33">
        <v>25</v>
      </c>
      <c r="P33" s="25"/>
      <c r="Q33">
        <v>36</v>
      </c>
      <c r="R33">
        <v>21</v>
      </c>
      <c r="S33">
        <v>32</v>
      </c>
      <c r="T33" s="2">
        <v>80</v>
      </c>
      <c r="U33" s="18">
        <v>89</v>
      </c>
      <c r="V33" s="2">
        <v>76</v>
      </c>
      <c r="W33" s="3">
        <v>60</v>
      </c>
      <c r="X33" s="3">
        <v>71</v>
      </c>
      <c r="Y33" s="3">
        <v>29</v>
      </c>
      <c r="Z33" s="8">
        <v>94</v>
      </c>
      <c r="AA33" s="3">
        <v>69</v>
      </c>
      <c r="AB33" s="3">
        <v>57</v>
      </c>
      <c r="AC33" s="3">
        <v>61</v>
      </c>
      <c r="AD33" s="3">
        <v>57</v>
      </c>
      <c r="AE33" s="3">
        <v>66</v>
      </c>
      <c r="AF33" s="3">
        <v>69</v>
      </c>
      <c r="AG33" s="3">
        <v>53</v>
      </c>
      <c r="AH33" s="4">
        <v>59</v>
      </c>
      <c r="AI33" s="4">
        <v>51</v>
      </c>
      <c r="AJ33" s="4">
        <v>71</v>
      </c>
      <c r="AK33" s="5">
        <v>101</v>
      </c>
      <c r="AL33" s="5">
        <v>71</v>
      </c>
      <c r="AM33" s="5">
        <v>65</v>
      </c>
      <c r="AN33" s="5">
        <v>74</v>
      </c>
      <c r="AO33" s="5">
        <v>63</v>
      </c>
      <c r="AP33" s="5">
        <v>57</v>
      </c>
      <c r="AQ33" s="5">
        <v>44</v>
      </c>
      <c r="AR33" s="6">
        <v>66</v>
      </c>
      <c r="AS33" s="6">
        <v>68</v>
      </c>
      <c r="AT33" s="6">
        <v>44</v>
      </c>
      <c r="AU33" s="7">
        <v>300</v>
      </c>
      <c r="AV33" s="1">
        <v>23</v>
      </c>
      <c r="AW33" s="1">
        <v>28</v>
      </c>
      <c r="AX33" s="1">
        <v>31</v>
      </c>
      <c r="AY33" s="1">
        <f t="shared" si="0"/>
        <v>82</v>
      </c>
      <c r="AZ33">
        <v>28</v>
      </c>
      <c r="BA33">
        <v>26.4</v>
      </c>
      <c r="BB33">
        <v>3</v>
      </c>
      <c r="BC33">
        <v>1</v>
      </c>
      <c r="BD33">
        <v>2</v>
      </c>
      <c r="BE33">
        <v>3</v>
      </c>
      <c r="BF33">
        <v>1</v>
      </c>
      <c r="BG33">
        <v>3</v>
      </c>
      <c r="BH33">
        <v>13</v>
      </c>
      <c r="BI33">
        <v>13.7</v>
      </c>
      <c r="BJ33">
        <v>1</v>
      </c>
      <c r="BK33" s="16" t="s">
        <v>181</v>
      </c>
      <c r="CE33" s="12" t="s">
        <v>110</v>
      </c>
      <c r="CF33">
        <v>3.6</v>
      </c>
      <c r="CG33">
        <v>0.7</v>
      </c>
    </row>
    <row r="34" spans="1:89">
      <c r="A34" s="13" t="s">
        <v>112</v>
      </c>
      <c r="B34">
        <v>70</v>
      </c>
      <c r="C34">
        <v>17</v>
      </c>
      <c r="D34" t="s">
        <v>107</v>
      </c>
      <c r="E34">
        <v>70</v>
      </c>
      <c r="F34" t="s">
        <v>165</v>
      </c>
      <c r="G34" t="s">
        <v>166</v>
      </c>
      <c r="H34" t="s">
        <v>166</v>
      </c>
      <c r="I34" t="s">
        <v>166</v>
      </c>
      <c r="J34">
        <v>1000</v>
      </c>
      <c r="K34"/>
      <c r="L34" s="29" t="s">
        <v>257</v>
      </c>
      <c r="M34"/>
      <c r="N34">
        <v>2.5</v>
      </c>
      <c r="O34">
        <v>25</v>
      </c>
      <c r="P34" s="25"/>
      <c r="Q34">
        <v>7</v>
      </c>
      <c r="R34">
        <v>7</v>
      </c>
      <c r="S34">
        <v>3</v>
      </c>
      <c r="T34" s="18">
        <v>31</v>
      </c>
      <c r="U34" s="18">
        <v>84</v>
      </c>
      <c r="V34" s="2">
        <v>42</v>
      </c>
      <c r="W34" s="3">
        <v>20</v>
      </c>
      <c r="X34" s="3">
        <v>20</v>
      </c>
      <c r="Y34" s="3">
        <v>3</v>
      </c>
      <c r="Z34" s="3">
        <v>13</v>
      </c>
      <c r="AA34" s="8">
        <v>96</v>
      </c>
      <c r="AB34" s="3">
        <v>70</v>
      </c>
      <c r="AC34" s="3">
        <v>11</v>
      </c>
      <c r="AD34" s="3">
        <v>3</v>
      </c>
      <c r="AE34" s="8">
        <v>83</v>
      </c>
      <c r="AF34" s="3">
        <v>15</v>
      </c>
      <c r="AG34" s="3">
        <v>3</v>
      </c>
      <c r="AH34" s="4">
        <v>2</v>
      </c>
      <c r="AI34" s="4">
        <v>2</v>
      </c>
      <c r="AJ34" s="4">
        <v>2</v>
      </c>
      <c r="AK34" s="5">
        <v>42</v>
      </c>
      <c r="AL34" s="5">
        <v>62</v>
      </c>
      <c r="AM34" s="5">
        <v>2</v>
      </c>
      <c r="AN34" s="5">
        <v>2</v>
      </c>
      <c r="AO34" s="5">
        <v>32</v>
      </c>
      <c r="AP34" s="5">
        <v>22</v>
      </c>
      <c r="AQ34" s="5">
        <v>2</v>
      </c>
      <c r="AR34" s="6">
        <v>2</v>
      </c>
      <c r="AS34" s="6">
        <v>26</v>
      </c>
      <c r="AT34" s="6">
        <v>2</v>
      </c>
      <c r="AU34" s="7">
        <v>470</v>
      </c>
      <c r="AV34">
        <v>12</v>
      </c>
      <c r="AW34">
        <v>18</v>
      </c>
      <c r="AX34">
        <v>20</v>
      </c>
      <c r="AY34">
        <f t="shared" si="0"/>
        <v>50</v>
      </c>
      <c r="AZ34">
        <v>29</v>
      </c>
      <c r="BA34">
        <v>26.7</v>
      </c>
      <c r="BB34">
        <v>2</v>
      </c>
      <c r="BC34">
        <v>3</v>
      </c>
      <c r="BD34">
        <v>2</v>
      </c>
      <c r="BE34">
        <v>3</v>
      </c>
      <c r="BF34">
        <v>1</v>
      </c>
      <c r="BG34">
        <v>3</v>
      </c>
      <c r="BH34">
        <v>14</v>
      </c>
      <c r="BI34">
        <v>13.4</v>
      </c>
      <c r="BJ34" s="1">
        <v>0</v>
      </c>
      <c r="BK34" s="16" t="s">
        <v>183</v>
      </c>
      <c r="CE34" s="13" t="s">
        <v>112</v>
      </c>
      <c r="CH34" s="30" t="s">
        <v>259</v>
      </c>
      <c r="CI34" s="33" t="s">
        <v>257</v>
      </c>
    </row>
    <row r="35" spans="1:89">
      <c r="A35" s="12" t="s">
        <v>114</v>
      </c>
      <c r="B35">
        <v>47</v>
      </c>
      <c r="C35">
        <v>8</v>
      </c>
      <c r="D35" t="s">
        <v>106</v>
      </c>
      <c r="E35">
        <v>48</v>
      </c>
      <c r="F35" t="s">
        <v>165</v>
      </c>
      <c r="G35" t="s">
        <v>166</v>
      </c>
      <c r="H35" t="s">
        <v>166</v>
      </c>
      <c r="I35" t="s">
        <v>166</v>
      </c>
      <c r="J35">
        <v>400</v>
      </c>
      <c r="K35">
        <v>0.54</v>
      </c>
      <c r="L35"/>
      <c r="M35"/>
      <c r="N35">
        <v>1</v>
      </c>
      <c r="O35">
        <v>7</v>
      </c>
      <c r="P35">
        <v>454</v>
      </c>
      <c r="Q35">
        <v>9</v>
      </c>
      <c r="R35">
        <v>5</v>
      </c>
      <c r="S35">
        <v>6</v>
      </c>
      <c r="T35" s="2">
        <v>53</v>
      </c>
      <c r="U35" s="18">
        <v>94</v>
      </c>
      <c r="V35" s="2">
        <v>38</v>
      </c>
      <c r="W35" s="3">
        <v>50</v>
      </c>
      <c r="X35" s="3">
        <v>17</v>
      </c>
      <c r="Y35" s="3">
        <v>0</v>
      </c>
      <c r="Z35" s="3">
        <v>34</v>
      </c>
      <c r="AA35" s="8">
        <v>99</v>
      </c>
      <c r="AB35" s="8">
        <v>90</v>
      </c>
      <c r="AC35" s="3">
        <v>61</v>
      </c>
      <c r="AD35" s="3">
        <v>40</v>
      </c>
      <c r="AE35" s="8">
        <v>80</v>
      </c>
      <c r="AF35" s="3">
        <v>30</v>
      </c>
      <c r="AG35" s="3">
        <v>0</v>
      </c>
      <c r="AH35" s="4">
        <v>0</v>
      </c>
      <c r="AI35" s="4">
        <v>7</v>
      </c>
      <c r="AJ35" s="4">
        <v>36</v>
      </c>
      <c r="AK35" s="5">
        <v>12</v>
      </c>
      <c r="AL35" s="5">
        <v>36</v>
      </c>
      <c r="AM35" s="5">
        <v>48</v>
      </c>
      <c r="AN35" s="5">
        <v>12</v>
      </c>
      <c r="AO35" s="5">
        <v>40</v>
      </c>
      <c r="AP35" s="5">
        <v>60</v>
      </c>
      <c r="AQ35" s="5">
        <v>0</v>
      </c>
      <c r="AR35" s="6">
        <v>0</v>
      </c>
      <c r="AS35" s="6">
        <v>25</v>
      </c>
      <c r="AT35" s="6">
        <v>48</v>
      </c>
      <c r="AU35" s="7">
        <v>450</v>
      </c>
      <c r="AV35">
        <v>20</v>
      </c>
      <c r="AW35">
        <v>20</v>
      </c>
      <c r="AX35" s="1">
        <v>31</v>
      </c>
      <c r="AY35" s="1">
        <f t="shared" si="0"/>
        <v>71</v>
      </c>
      <c r="AZ35">
        <v>25</v>
      </c>
      <c r="BA35">
        <v>24.62</v>
      </c>
      <c r="BB35">
        <v>3</v>
      </c>
      <c r="BC35">
        <v>3</v>
      </c>
      <c r="BD35">
        <v>3</v>
      </c>
      <c r="BE35">
        <v>3</v>
      </c>
      <c r="BF35">
        <v>1</v>
      </c>
      <c r="BG35">
        <v>3</v>
      </c>
      <c r="BH35">
        <v>16</v>
      </c>
      <c r="BI35">
        <v>15.7</v>
      </c>
      <c r="BJ35">
        <v>3</v>
      </c>
      <c r="BK35" s="16" t="s">
        <v>211</v>
      </c>
      <c r="BR35" t="s">
        <v>248</v>
      </c>
      <c r="CE35" s="12" t="s">
        <v>114</v>
      </c>
      <c r="CF35">
        <v>0.85</v>
      </c>
      <c r="CG35">
        <v>0.54</v>
      </c>
    </row>
    <row r="36" spans="1:89">
      <c r="A36" s="12" t="s">
        <v>115</v>
      </c>
      <c r="B36">
        <v>46</v>
      </c>
      <c r="C36">
        <v>17</v>
      </c>
      <c r="D36" t="s">
        <v>107</v>
      </c>
      <c r="E36">
        <v>68</v>
      </c>
      <c r="F36" t="s">
        <v>165</v>
      </c>
      <c r="G36" t="s">
        <v>166</v>
      </c>
      <c r="H36" t="s">
        <v>167</v>
      </c>
      <c r="I36" t="s">
        <v>166</v>
      </c>
      <c r="J36">
        <v>650</v>
      </c>
      <c r="K36">
        <v>0.44</v>
      </c>
      <c r="L36"/>
      <c r="M36"/>
      <c r="N36">
        <v>2</v>
      </c>
      <c r="O36">
        <v>11</v>
      </c>
      <c r="P36" s="25"/>
      <c r="Q36">
        <v>11</v>
      </c>
      <c r="R36">
        <v>8</v>
      </c>
      <c r="S36">
        <v>8</v>
      </c>
      <c r="T36" s="2">
        <v>60</v>
      </c>
      <c r="U36" s="2">
        <v>43</v>
      </c>
      <c r="V36" s="2">
        <v>61</v>
      </c>
      <c r="W36" s="3">
        <v>70</v>
      </c>
      <c r="X36" s="3">
        <v>74</v>
      </c>
      <c r="Y36" s="8">
        <v>77</v>
      </c>
      <c r="Z36" s="3">
        <v>69</v>
      </c>
      <c r="AA36" s="3">
        <v>27</v>
      </c>
      <c r="AB36" s="3">
        <v>50</v>
      </c>
      <c r="AC36" s="3">
        <v>17</v>
      </c>
      <c r="AD36" s="3">
        <v>6</v>
      </c>
      <c r="AE36" s="8">
        <v>103</v>
      </c>
      <c r="AF36" s="3">
        <v>42</v>
      </c>
      <c r="AG36" s="3">
        <v>60</v>
      </c>
      <c r="AH36" s="4">
        <v>60</v>
      </c>
      <c r="AI36" s="4">
        <v>33</v>
      </c>
      <c r="AJ36" s="4">
        <v>48</v>
      </c>
      <c r="AK36" s="5">
        <v>68</v>
      </c>
      <c r="AL36" s="5">
        <v>67</v>
      </c>
      <c r="AM36" s="5">
        <v>24</v>
      </c>
      <c r="AN36" s="5">
        <v>81</v>
      </c>
      <c r="AO36" s="5">
        <v>0</v>
      </c>
      <c r="AP36" s="5">
        <v>20</v>
      </c>
      <c r="AQ36" s="5">
        <v>64</v>
      </c>
      <c r="AR36" s="6">
        <v>66</v>
      </c>
      <c r="AS36" s="6">
        <v>67</v>
      </c>
      <c r="AT36" s="6">
        <v>0</v>
      </c>
      <c r="AU36" s="7">
        <v>700</v>
      </c>
      <c r="AV36">
        <v>17</v>
      </c>
      <c r="AW36">
        <v>17</v>
      </c>
      <c r="AX36">
        <v>21</v>
      </c>
      <c r="AY36">
        <f t="shared" si="0"/>
        <v>55</v>
      </c>
      <c r="AZ36">
        <v>30</v>
      </c>
      <c r="BA36">
        <v>28.21</v>
      </c>
      <c r="BB36">
        <v>3</v>
      </c>
      <c r="BC36">
        <v>3</v>
      </c>
      <c r="BD36">
        <v>3</v>
      </c>
      <c r="BE36">
        <v>3</v>
      </c>
      <c r="BF36">
        <v>3</v>
      </c>
      <c r="BG36">
        <v>3</v>
      </c>
      <c r="BH36">
        <v>18</v>
      </c>
      <c r="BI36">
        <v>16.399999999999999</v>
      </c>
      <c r="BJ36">
        <v>3</v>
      </c>
      <c r="BK36" s="16" t="s">
        <v>184</v>
      </c>
      <c r="BQ36" t="s">
        <v>247</v>
      </c>
      <c r="BR36">
        <v>41</v>
      </c>
      <c r="CE36" s="12" t="s">
        <v>115</v>
      </c>
      <c r="CF36">
        <v>0.71</v>
      </c>
      <c r="CG36">
        <v>0.44</v>
      </c>
    </row>
    <row r="37" spans="1:89">
      <c r="A37" s="17" t="s">
        <v>116</v>
      </c>
      <c r="B37">
        <v>74</v>
      </c>
      <c r="C37">
        <v>17</v>
      </c>
      <c r="D37" t="s">
        <v>106</v>
      </c>
      <c r="E37">
        <v>69</v>
      </c>
      <c r="F37" t="s">
        <v>165</v>
      </c>
      <c r="G37" t="s">
        <v>166</v>
      </c>
      <c r="H37" t="s">
        <v>166</v>
      </c>
      <c r="I37" t="s">
        <v>166</v>
      </c>
      <c r="J37">
        <v>500</v>
      </c>
      <c r="K37"/>
      <c r="L37">
        <v>2</v>
      </c>
      <c r="M37"/>
      <c r="N37">
        <v>2</v>
      </c>
      <c r="O37">
        <v>10</v>
      </c>
      <c r="P37">
        <v>540</v>
      </c>
      <c r="Q37">
        <v>7</v>
      </c>
      <c r="R37">
        <v>7</v>
      </c>
      <c r="S37">
        <v>2</v>
      </c>
      <c r="T37" s="18">
        <v>32</v>
      </c>
      <c r="U37" s="2">
        <v>65</v>
      </c>
      <c r="V37" s="2">
        <v>49</v>
      </c>
      <c r="W37" s="3">
        <v>22</v>
      </c>
      <c r="X37" s="3">
        <v>19</v>
      </c>
      <c r="Y37" s="3">
        <v>8</v>
      </c>
      <c r="Z37" s="3">
        <v>53</v>
      </c>
      <c r="AA37" s="3">
        <v>65</v>
      </c>
      <c r="AB37" s="3">
        <v>65</v>
      </c>
      <c r="AC37" s="3">
        <v>50</v>
      </c>
      <c r="AD37" s="3">
        <v>35</v>
      </c>
      <c r="AE37" s="3">
        <v>73</v>
      </c>
      <c r="AF37" s="3">
        <v>8</v>
      </c>
      <c r="AG37" s="3">
        <v>2</v>
      </c>
      <c r="AH37" s="4">
        <v>32</v>
      </c>
      <c r="AI37" s="4">
        <v>32</v>
      </c>
      <c r="AJ37" s="4">
        <v>2</v>
      </c>
      <c r="AK37" s="5">
        <v>62</v>
      </c>
      <c r="AL37" s="5">
        <v>62</v>
      </c>
      <c r="AM37" s="5">
        <v>67</v>
      </c>
      <c r="AN37" s="5">
        <v>62</v>
      </c>
      <c r="AO37" s="5">
        <v>22</v>
      </c>
      <c r="AP37" s="5">
        <v>62</v>
      </c>
      <c r="AQ37" s="5">
        <v>26</v>
      </c>
      <c r="AR37" s="6">
        <v>39</v>
      </c>
      <c r="AS37" s="6">
        <v>27</v>
      </c>
      <c r="AT37" s="6">
        <v>2</v>
      </c>
      <c r="AU37" s="7">
        <v>0</v>
      </c>
      <c r="AV37">
        <v>15</v>
      </c>
      <c r="AW37">
        <v>21</v>
      </c>
      <c r="AX37">
        <v>27</v>
      </c>
      <c r="AY37">
        <f t="shared" si="0"/>
        <v>63</v>
      </c>
      <c r="AZ37">
        <v>24</v>
      </c>
      <c r="BA37" s="1">
        <v>21.7</v>
      </c>
      <c r="BB37">
        <v>3</v>
      </c>
      <c r="BC37">
        <v>3</v>
      </c>
      <c r="BD37">
        <v>3</v>
      </c>
      <c r="BE37">
        <v>3</v>
      </c>
      <c r="BF37">
        <v>1</v>
      </c>
      <c r="BG37">
        <v>3</v>
      </c>
      <c r="BH37">
        <v>16</v>
      </c>
      <c r="BI37">
        <v>15.4</v>
      </c>
      <c r="BJ37">
        <v>3</v>
      </c>
      <c r="BK37" s="16" t="s">
        <v>212</v>
      </c>
      <c r="BQ37" t="s">
        <v>246</v>
      </c>
      <c r="BR37">
        <v>64</v>
      </c>
      <c r="CE37" s="17" t="s">
        <v>116</v>
      </c>
      <c r="CH37">
        <v>4.33</v>
      </c>
      <c r="CI37" s="33">
        <v>2</v>
      </c>
    </row>
    <row r="38" spans="1:89">
      <c r="A38" s="12" t="s">
        <v>117</v>
      </c>
      <c r="B38">
        <v>64</v>
      </c>
      <c r="C38">
        <v>18</v>
      </c>
      <c r="D38" t="s">
        <v>107</v>
      </c>
      <c r="E38">
        <v>80</v>
      </c>
      <c r="F38" t="s">
        <v>165</v>
      </c>
      <c r="G38" t="s">
        <v>166</v>
      </c>
      <c r="H38" t="s">
        <v>167</v>
      </c>
      <c r="I38" t="s">
        <v>166</v>
      </c>
      <c r="J38">
        <v>400</v>
      </c>
      <c r="K38">
        <v>0.26</v>
      </c>
      <c r="L38"/>
      <c r="M38"/>
      <c r="N38">
        <v>2</v>
      </c>
      <c r="O38">
        <v>32</v>
      </c>
      <c r="P38" s="25"/>
      <c r="Q38">
        <v>6</v>
      </c>
      <c r="R38">
        <v>3</v>
      </c>
      <c r="S38">
        <v>6</v>
      </c>
      <c r="T38" s="2">
        <v>44</v>
      </c>
      <c r="U38" s="18">
        <v>89</v>
      </c>
      <c r="V38" s="2">
        <v>45</v>
      </c>
      <c r="W38" s="3">
        <v>60</v>
      </c>
      <c r="X38" s="3">
        <v>25</v>
      </c>
      <c r="Y38" s="3">
        <v>0</v>
      </c>
      <c r="Z38" s="3">
        <v>20</v>
      </c>
      <c r="AA38" s="3">
        <v>60</v>
      </c>
      <c r="AB38" s="3">
        <v>63</v>
      </c>
      <c r="AC38" s="3">
        <v>25</v>
      </c>
      <c r="AD38" s="3">
        <v>13</v>
      </c>
      <c r="AE38" s="8">
        <v>115</v>
      </c>
      <c r="AF38" s="3">
        <v>36</v>
      </c>
      <c r="AG38" s="3">
        <v>0</v>
      </c>
      <c r="AH38" s="4">
        <v>0</v>
      </c>
      <c r="AI38" s="4">
        <v>8</v>
      </c>
      <c r="AJ38" s="4">
        <v>24</v>
      </c>
      <c r="AK38" s="5">
        <v>40</v>
      </c>
      <c r="AL38" s="5">
        <v>40</v>
      </c>
      <c r="AM38" s="5">
        <v>24</v>
      </c>
      <c r="AN38" s="5">
        <v>30</v>
      </c>
      <c r="AO38" s="5">
        <v>30</v>
      </c>
      <c r="AP38" s="5">
        <v>0</v>
      </c>
      <c r="AQ38" s="5">
        <v>15</v>
      </c>
      <c r="AR38" s="6">
        <v>0</v>
      </c>
      <c r="AS38" s="6">
        <v>24</v>
      </c>
      <c r="AT38" s="6">
        <v>0</v>
      </c>
      <c r="AU38" s="7">
        <v>700</v>
      </c>
      <c r="AV38">
        <v>16</v>
      </c>
      <c r="AW38">
        <v>24</v>
      </c>
      <c r="AX38">
        <v>29</v>
      </c>
      <c r="AY38">
        <f t="shared" si="0"/>
        <v>69</v>
      </c>
      <c r="AZ38">
        <v>30</v>
      </c>
      <c r="BA38">
        <v>28.46</v>
      </c>
      <c r="BB38">
        <v>3</v>
      </c>
      <c r="BC38">
        <v>3</v>
      </c>
      <c r="BD38">
        <v>3</v>
      </c>
      <c r="BE38">
        <v>3</v>
      </c>
      <c r="BF38">
        <v>3</v>
      </c>
      <c r="BG38">
        <v>3</v>
      </c>
      <c r="BH38">
        <v>18</v>
      </c>
      <c r="BI38">
        <v>17</v>
      </c>
      <c r="BJ38">
        <v>4</v>
      </c>
      <c r="BK38" s="16" t="s">
        <v>185</v>
      </c>
      <c r="BQ38" t="s">
        <v>82</v>
      </c>
      <c r="BR38">
        <f>SUM(BR36:BR37)</f>
        <v>105</v>
      </c>
      <c r="CE38" s="12" t="s">
        <v>117</v>
      </c>
      <c r="CF38">
        <v>0.84</v>
      </c>
      <c r="CG38">
        <v>0.26</v>
      </c>
    </row>
    <row r="39" spans="1:89">
      <c r="A39" s="13" t="s">
        <v>118</v>
      </c>
      <c r="B39">
        <v>45</v>
      </c>
      <c r="C39">
        <v>6</v>
      </c>
      <c r="D39" t="s">
        <v>106</v>
      </c>
      <c r="E39">
        <v>65</v>
      </c>
      <c r="F39" s="1" t="s">
        <v>171</v>
      </c>
      <c r="G39" t="s">
        <v>166</v>
      </c>
      <c r="H39" t="s">
        <v>166</v>
      </c>
      <c r="I39" t="s">
        <v>166</v>
      </c>
      <c r="J39">
        <v>500</v>
      </c>
      <c r="K39"/>
      <c r="L39">
        <v>6</v>
      </c>
      <c r="M39"/>
      <c r="N39">
        <v>2</v>
      </c>
      <c r="O39">
        <v>21</v>
      </c>
      <c r="P39" s="25"/>
      <c r="Q39">
        <v>4</v>
      </c>
      <c r="R39">
        <v>3</v>
      </c>
      <c r="S39">
        <v>2</v>
      </c>
      <c r="T39" s="2">
        <v>61</v>
      </c>
      <c r="U39" s="18">
        <v>89</v>
      </c>
      <c r="V39" s="2">
        <v>38</v>
      </c>
      <c r="W39" s="3">
        <v>66</v>
      </c>
      <c r="X39" s="3">
        <v>70</v>
      </c>
      <c r="Y39" s="3">
        <v>26</v>
      </c>
      <c r="Z39" s="3">
        <v>34</v>
      </c>
      <c r="AA39" s="8">
        <v>111</v>
      </c>
      <c r="AB39" s="8">
        <v>77</v>
      </c>
      <c r="AC39" s="3">
        <v>36</v>
      </c>
      <c r="AD39" s="3">
        <v>40</v>
      </c>
      <c r="AE39" s="8">
        <v>85</v>
      </c>
      <c r="AF39" s="3">
        <v>36</v>
      </c>
      <c r="AG39" s="3">
        <v>10</v>
      </c>
      <c r="AH39" s="4">
        <v>60</v>
      </c>
      <c r="AI39" s="4">
        <v>7</v>
      </c>
      <c r="AJ39" s="4">
        <v>64</v>
      </c>
      <c r="AK39" s="5">
        <v>12</v>
      </c>
      <c r="AL39" s="5">
        <v>0</v>
      </c>
      <c r="AM39" s="5">
        <v>63</v>
      </c>
      <c r="AN39" s="5">
        <v>0</v>
      </c>
      <c r="AO39" s="5">
        <v>0</v>
      </c>
      <c r="AP39" s="5">
        <v>60</v>
      </c>
      <c r="AQ39" s="5">
        <v>0</v>
      </c>
      <c r="AR39" s="6">
        <v>15</v>
      </c>
      <c r="AS39" s="6">
        <v>0</v>
      </c>
      <c r="AT39" s="6">
        <v>60</v>
      </c>
      <c r="AU39" s="7" t="s">
        <v>132</v>
      </c>
      <c r="AV39">
        <v>17</v>
      </c>
      <c r="AW39">
        <v>18</v>
      </c>
      <c r="AX39">
        <v>22</v>
      </c>
      <c r="AY39">
        <f t="shared" si="0"/>
        <v>57</v>
      </c>
      <c r="AZ39">
        <v>30</v>
      </c>
      <c r="BA39">
        <v>29.62</v>
      </c>
      <c r="BB39">
        <v>3</v>
      </c>
      <c r="BC39">
        <v>2</v>
      </c>
      <c r="BD39">
        <v>3</v>
      </c>
      <c r="BE39">
        <v>3</v>
      </c>
      <c r="BF39">
        <v>3</v>
      </c>
      <c r="BG39">
        <v>3</v>
      </c>
      <c r="BH39">
        <v>17</v>
      </c>
      <c r="BI39">
        <v>17.3</v>
      </c>
      <c r="BJ39">
        <v>4</v>
      </c>
      <c r="BK39" s="16" t="s">
        <v>186</v>
      </c>
      <c r="CE39" s="13" t="s">
        <v>118</v>
      </c>
      <c r="CJ39" s="1" t="s">
        <v>259</v>
      </c>
      <c r="CK39" s="33">
        <v>6</v>
      </c>
    </row>
    <row r="40" spans="1:89">
      <c r="A40" s="12" t="s">
        <v>119</v>
      </c>
      <c r="B40">
        <v>57</v>
      </c>
      <c r="C40">
        <v>17</v>
      </c>
      <c r="D40" t="s">
        <v>107</v>
      </c>
      <c r="E40">
        <v>66</v>
      </c>
      <c r="F40" s="28" t="s">
        <v>176</v>
      </c>
      <c r="G40" t="s">
        <v>166</v>
      </c>
      <c r="H40" t="s">
        <v>166</v>
      </c>
      <c r="I40" t="s">
        <v>166</v>
      </c>
      <c r="J40">
        <v>200</v>
      </c>
      <c r="K40">
        <v>1.05</v>
      </c>
      <c r="L40"/>
      <c r="M40"/>
      <c r="N40">
        <v>1</v>
      </c>
      <c r="O40">
        <v>7</v>
      </c>
      <c r="P40" s="25"/>
      <c r="Q40">
        <v>4</v>
      </c>
      <c r="R40">
        <v>3</v>
      </c>
      <c r="S40">
        <v>4</v>
      </c>
      <c r="T40" s="2">
        <v>49</v>
      </c>
      <c r="U40" s="2">
        <v>70</v>
      </c>
      <c r="V40" s="2">
        <v>52</v>
      </c>
      <c r="W40" s="3">
        <v>25</v>
      </c>
      <c r="X40" s="3">
        <v>24</v>
      </c>
      <c r="Y40" s="3">
        <v>50</v>
      </c>
      <c r="Z40" s="3">
        <v>63</v>
      </c>
      <c r="AA40" s="3">
        <v>70</v>
      </c>
      <c r="AB40" s="3">
        <v>60</v>
      </c>
      <c r="AC40" s="3">
        <v>25</v>
      </c>
      <c r="AD40" s="3">
        <v>26</v>
      </c>
      <c r="AE40" s="8">
        <v>83</v>
      </c>
      <c r="AF40" s="3">
        <v>42</v>
      </c>
      <c r="AG40" s="3">
        <v>0</v>
      </c>
      <c r="AH40" s="4">
        <v>0</v>
      </c>
      <c r="AI40" s="4">
        <v>16</v>
      </c>
      <c r="AJ40" s="4">
        <v>60</v>
      </c>
      <c r="AK40" s="5">
        <v>75</v>
      </c>
      <c r="AL40" s="5">
        <v>20</v>
      </c>
      <c r="AM40" s="5">
        <v>12</v>
      </c>
      <c r="AN40" s="5">
        <v>30</v>
      </c>
      <c r="AO40" s="5">
        <v>15</v>
      </c>
      <c r="AP40" s="5">
        <v>20</v>
      </c>
      <c r="AQ40" s="5">
        <v>45</v>
      </c>
      <c r="AR40" s="6">
        <v>0</v>
      </c>
      <c r="AS40" s="6">
        <v>48</v>
      </c>
      <c r="AT40" s="6">
        <v>0</v>
      </c>
      <c r="AU40" s="7">
        <v>700</v>
      </c>
      <c r="AV40">
        <v>12</v>
      </c>
      <c r="AW40">
        <v>14</v>
      </c>
      <c r="AX40">
        <v>27</v>
      </c>
      <c r="AY40">
        <f t="shared" si="0"/>
        <v>53</v>
      </c>
      <c r="AZ40">
        <v>30</v>
      </c>
      <c r="BA40">
        <v>28.31</v>
      </c>
      <c r="BB40">
        <v>3</v>
      </c>
      <c r="BC40">
        <v>3</v>
      </c>
      <c r="BD40">
        <v>3</v>
      </c>
      <c r="BE40">
        <v>3</v>
      </c>
      <c r="BF40">
        <v>3</v>
      </c>
      <c r="BG40">
        <v>3</v>
      </c>
      <c r="BH40">
        <v>18</v>
      </c>
      <c r="BI40">
        <v>16.8</v>
      </c>
      <c r="BJ40">
        <v>4</v>
      </c>
      <c r="BK40" s="16" t="s">
        <v>173</v>
      </c>
      <c r="CE40" s="12" t="s">
        <v>119</v>
      </c>
      <c r="CF40">
        <v>4.05</v>
      </c>
      <c r="CG40">
        <v>1.05</v>
      </c>
    </row>
    <row r="41" spans="1:89">
      <c r="A41" s="17" t="s">
        <v>120</v>
      </c>
      <c r="B41">
        <v>48</v>
      </c>
      <c r="C41">
        <v>10</v>
      </c>
      <c r="D41" t="s">
        <v>107</v>
      </c>
      <c r="E41">
        <v>72</v>
      </c>
      <c r="F41" s="28" t="s">
        <v>176</v>
      </c>
      <c r="G41" t="s">
        <v>166</v>
      </c>
      <c r="H41" t="s">
        <v>167</v>
      </c>
      <c r="I41" t="s">
        <v>167</v>
      </c>
      <c r="J41">
        <v>200</v>
      </c>
      <c r="K41"/>
      <c r="L41">
        <v>4</v>
      </c>
      <c r="M41"/>
      <c r="N41">
        <v>2</v>
      </c>
      <c r="O41">
        <v>8</v>
      </c>
      <c r="P41" s="25"/>
      <c r="Q41">
        <v>4</v>
      </c>
      <c r="R41">
        <v>0.6</v>
      </c>
      <c r="S41">
        <v>0.6</v>
      </c>
      <c r="T41" s="2">
        <v>65</v>
      </c>
      <c r="U41" s="18">
        <v>80</v>
      </c>
      <c r="V41" s="2">
        <v>65</v>
      </c>
      <c r="W41" s="3">
        <v>8</v>
      </c>
      <c r="X41" s="3">
        <v>7</v>
      </c>
      <c r="Y41" s="3">
        <v>67</v>
      </c>
      <c r="Z41" s="3">
        <v>69</v>
      </c>
      <c r="AA41" s="8">
        <v>85</v>
      </c>
      <c r="AB41" s="8">
        <v>113</v>
      </c>
      <c r="AC41" s="3">
        <v>70</v>
      </c>
      <c r="AD41" s="3">
        <v>62</v>
      </c>
      <c r="AE41" s="8">
        <v>75</v>
      </c>
      <c r="AF41" s="3">
        <v>42</v>
      </c>
      <c r="AG41" s="3">
        <v>13</v>
      </c>
      <c r="AH41" s="4">
        <v>29</v>
      </c>
      <c r="AI41" s="4">
        <v>49</v>
      </c>
      <c r="AJ41" s="4">
        <v>48</v>
      </c>
      <c r="AK41" s="5">
        <v>85</v>
      </c>
      <c r="AL41" s="5">
        <v>65</v>
      </c>
      <c r="AM41" s="5">
        <v>60</v>
      </c>
      <c r="AN41" s="5">
        <v>79</v>
      </c>
      <c r="AO41" s="5">
        <v>72</v>
      </c>
      <c r="AP41" s="5">
        <v>73</v>
      </c>
      <c r="AQ41" s="5">
        <v>62</v>
      </c>
      <c r="AR41" s="6">
        <v>60</v>
      </c>
      <c r="AS41" s="6">
        <v>67</v>
      </c>
      <c r="AT41" s="6">
        <v>60</v>
      </c>
      <c r="AU41" s="7">
        <v>540</v>
      </c>
      <c r="AV41">
        <v>18</v>
      </c>
      <c r="AW41" s="1">
        <v>26</v>
      </c>
      <c r="AX41">
        <v>27</v>
      </c>
      <c r="AY41" s="1">
        <f t="shared" si="0"/>
        <v>71</v>
      </c>
      <c r="AZ41">
        <v>27</v>
      </c>
      <c r="BA41">
        <v>25.89</v>
      </c>
      <c r="BB41">
        <v>3</v>
      </c>
      <c r="BC41">
        <v>3</v>
      </c>
      <c r="BD41">
        <v>3</v>
      </c>
      <c r="BE41">
        <v>3</v>
      </c>
      <c r="BF41">
        <v>3</v>
      </c>
      <c r="BG41">
        <v>3</v>
      </c>
      <c r="BH41">
        <v>18</v>
      </c>
      <c r="BI41">
        <v>17.7</v>
      </c>
      <c r="BJ41">
        <v>4</v>
      </c>
      <c r="BK41" s="16" t="s">
        <v>245</v>
      </c>
      <c r="CE41" s="17" t="s">
        <v>120</v>
      </c>
      <c r="CH41">
        <v>0.39</v>
      </c>
      <c r="CI41" s="33">
        <v>4</v>
      </c>
    </row>
    <row r="42" spans="1:89">
      <c r="A42" s="13" t="s">
        <v>122</v>
      </c>
      <c r="B42">
        <v>64</v>
      </c>
      <c r="C42">
        <v>13</v>
      </c>
      <c r="D42" t="s">
        <v>106</v>
      </c>
      <c r="E42">
        <v>78</v>
      </c>
      <c r="F42" t="s">
        <v>165</v>
      </c>
      <c r="G42" t="s">
        <v>166</v>
      </c>
      <c r="H42" t="s">
        <v>166</v>
      </c>
      <c r="I42" t="s">
        <v>166</v>
      </c>
      <c r="J42">
        <v>400</v>
      </c>
      <c r="K42"/>
      <c r="L42">
        <v>24</v>
      </c>
      <c r="M42"/>
      <c r="N42">
        <v>2</v>
      </c>
      <c r="O42">
        <v>12</v>
      </c>
      <c r="P42" s="25"/>
      <c r="Q42">
        <v>2</v>
      </c>
      <c r="R42">
        <v>1</v>
      </c>
      <c r="S42">
        <v>1</v>
      </c>
      <c r="T42" s="2">
        <v>34</v>
      </c>
      <c r="U42" s="18">
        <v>89</v>
      </c>
      <c r="V42" s="2">
        <v>34</v>
      </c>
      <c r="W42" s="3">
        <v>1</v>
      </c>
      <c r="X42" s="3">
        <v>1</v>
      </c>
      <c r="Y42" s="3">
        <v>1</v>
      </c>
      <c r="Z42" s="3">
        <v>18</v>
      </c>
      <c r="AA42" s="8">
        <v>112</v>
      </c>
      <c r="AB42" s="8">
        <v>76</v>
      </c>
      <c r="AC42" s="3">
        <v>49</v>
      </c>
      <c r="AD42" s="3">
        <v>14</v>
      </c>
      <c r="AE42" s="3">
        <v>67</v>
      </c>
      <c r="AF42" s="3">
        <v>19</v>
      </c>
      <c r="AG42" s="3">
        <v>1</v>
      </c>
      <c r="AH42" s="4">
        <v>1</v>
      </c>
      <c r="AI42" s="4">
        <v>8</v>
      </c>
      <c r="AJ42" s="4">
        <v>1</v>
      </c>
      <c r="AK42" s="5">
        <v>1</v>
      </c>
      <c r="AL42" s="5">
        <v>13</v>
      </c>
      <c r="AM42" s="5">
        <v>49</v>
      </c>
      <c r="AN42" s="5">
        <v>1</v>
      </c>
      <c r="AO42" s="5">
        <v>61</v>
      </c>
      <c r="AP42" s="5">
        <v>31</v>
      </c>
      <c r="AQ42" s="5">
        <v>1</v>
      </c>
      <c r="AR42" s="6">
        <v>1</v>
      </c>
      <c r="AS42" s="6">
        <v>18</v>
      </c>
      <c r="AT42" s="6">
        <v>13</v>
      </c>
      <c r="AU42" s="7">
        <v>450</v>
      </c>
      <c r="AV42">
        <v>17</v>
      </c>
      <c r="AW42">
        <v>22</v>
      </c>
      <c r="AX42" s="1">
        <v>29</v>
      </c>
      <c r="AY42">
        <f t="shared" si="0"/>
        <v>68</v>
      </c>
      <c r="AZ42">
        <v>28</v>
      </c>
      <c r="BA42">
        <v>27.49</v>
      </c>
      <c r="BB42">
        <v>3</v>
      </c>
      <c r="BC42">
        <v>3</v>
      </c>
      <c r="BD42">
        <v>3</v>
      </c>
      <c r="BE42">
        <v>3</v>
      </c>
      <c r="BF42">
        <v>3</v>
      </c>
      <c r="BG42">
        <v>3</v>
      </c>
      <c r="BH42">
        <v>18</v>
      </c>
      <c r="BI42">
        <v>18.3</v>
      </c>
      <c r="BJ42">
        <v>4</v>
      </c>
      <c r="BK42" s="16" t="s">
        <v>187</v>
      </c>
      <c r="CE42" s="13" t="s">
        <v>122</v>
      </c>
      <c r="CH42">
        <v>9.5</v>
      </c>
      <c r="CI42" s="33">
        <v>24</v>
      </c>
    </row>
    <row r="43" spans="1:89">
      <c r="A43" s="12" t="s">
        <v>128</v>
      </c>
      <c r="B43">
        <v>69</v>
      </c>
      <c r="C43">
        <v>13</v>
      </c>
      <c r="D43" t="s">
        <v>106</v>
      </c>
      <c r="E43">
        <v>75</v>
      </c>
      <c r="F43" t="s">
        <v>165</v>
      </c>
      <c r="G43" t="s">
        <v>166</v>
      </c>
      <c r="H43" t="s">
        <v>167</v>
      </c>
      <c r="I43" t="s">
        <v>166</v>
      </c>
      <c r="J43">
        <v>400</v>
      </c>
      <c r="K43">
        <v>1.05</v>
      </c>
      <c r="L43"/>
      <c r="M43"/>
      <c r="N43">
        <v>2</v>
      </c>
      <c r="O43">
        <v>14</v>
      </c>
      <c r="P43" s="25"/>
      <c r="Q43">
        <v>10</v>
      </c>
      <c r="R43">
        <v>10</v>
      </c>
      <c r="S43">
        <v>10</v>
      </c>
      <c r="T43" s="2">
        <v>51</v>
      </c>
      <c r="U43" s="2">
        <v>51</v>
      </c>
      <c r="V43" s="2">
        <v>52</v>
      </c>
      <c r="W43" s="3">
        <v>73</v>
      </c>
      <c r="X43" s="8">
        <v>80</v>
      </c>
      <c r="Y43" s="3">
        <v>33</v>
      </c>
      <c r="Z43" s="8">
        <v>77</v>
      </c>
      <c r="AA43" s="3">
        <v>32</v>
      </c>
      <c r="AB43" s="3">
        <v>40</v>
      </c>
      <c r="AC43" s="3">
        <v>0</v>
      </c>
      <c r="AD43" s="3">
        <v>0</v>
      </c>
      <c r="AE43" s="8">
        <v>80</v>
      </c>
      <c r="AF43" s="3">
        <v>12</v>
      </c>
      <c r="AG43" s="3">
        <v>20</v>
      </c>
      <c r="AH43" s="4">
        <v>60</v>
      </c>
      <c r="AI43" s="4">
        <v>15</v>
      </c>
      <c r="AJ43" s="4">
        <v>24</v>
      </c>
      <c r="AK43" s="5">
        <v>24</v>
      </c>
      <c r="AL43" s="5">
        <v>69</v>
      </c>
      <c r="AM43" s="5">
        <v>48</v>
      </c>
      <c r="AN43" s="5">
        <v>60</v>
      </c>
      <c r="AO43" s="5">
        <v>40</v>
      </c>
      <c r="AP43" s="5">
        <v>0</v>
      </c>
      <c r="AQ43" s="5">
        <v>24</v>
      </c>
      <c r="AR43" s="6">
        <v>22</v>
      </c>
      <c r="AS43" s="6">
        <v>42</v>
      </c>
      <c r="AT43" s="6">
        <v>0</v>
      </c>
      <c r="AU43" s="7" t="s">
        <v>129</v>
      </c>
      <c r="AV43">
        <v>15</v>
      </c>
      <c r="AW43">
        <v>19</v>
      </c>
      <c r="AX43">
        <v>25</v>
      </c>
      <c r="AY43">
        <f t="shared" si="0"/>
        <v>59</v>
      </c>
      <c r="AZ43">
        <v>30</v>
      </c>
      <c r="BA43">
        <v>27.2</v>
      </c>
      <c r="BB43">
        <v>3</v>
      </c>
      <c r="BC43">
        <v>3</v>
      </c>
      <c r="BD43">
        <v>3</v>
      </c>
      <c r="BE43">
        <v>3</v>
      </c>
      <c r="BF43">
        <v>3</v>
      </c>
      <c r="BG43">
        <v>3</v>
      </c>
      <c r="BH43">
        <v>18</v>
      </c>
      <c r="BI43">
        <v>17.7</v>
      </c>
      <c r="BJ43">
        <v>4</v>
      </c>
      <c r="BK43" s="16" t="s">
        <v>188</v>
      </c>
      <c r="CE43" s="12" t="s">
        <v>128</v>
      </c>
      <c r="CF43">
        <v>1.57</v>
      </c>
      <c r="CG43">
        <v>1.05</v>
      </c>
    </row>
    <row r="44" spans="1:89">
      <c r="A44" s="12" t="s">
        <v>149</v>
      </c>
      <c r="B44">
        <v>53</v>
      </c>
      <c r="C44">
        <v>8</v>
      </c>
      <c r="D44" t="s">
        <v>107</v>
      </c>
      <c r="E44">
        <v>100</v>
      </c>
      <c r="F44" t="s">
        <v>165</v>
      </c>
      <c r="G44" t="s">
        <v>166</v>
      </c>
      <c r="H44" t="s">
        <v>167</v>
      </c>
      <c r="I44" t="s">
        <v>166</v>
      </c>
      <c r="J44">
        <v>200</v>
      </c>
      <c r="K44">
        <v>2.1</v>
      </c>
      <c r="L44"/>
      <c r="M44"/>
      <c r="N44">
        <v>1</v>
      </c>
      <c r="O44">
        <v>9</v>
      </c>
      <c r="P44" s="25"/>
      <c r="Q44">
        <v>2</v>
      </c>
      <c r="R44">
        <v>2</v>
      </c>
      <c r="S44">
        <v>2</v>
      </c>
      <c r="T44" s="2">
        <v>51</v>
      </c>
      <c r="U44" s="18">
        <v>89</v>
      </c>
      <c r="V44" s="2">
        <v>45</v>
      </c>
      <c r="W44" s="3">
        <v>25</v>
      </c>
      <c r="X44" s="3">
        <v>24</v>
      </c>
      <c r="Y44" s="3">
        <v>33</v>
      </c>
      <c r="Z44" s="3">
        <v>69</v>
      </c>
      <c r="AA44" s="8">
        <v>75</v>
      </c>
      <c r="AB44" s="3">
        <v>50</v>
      </c>
      <c r="AC44" s="3">
        <v>0</v>
      </c>
      <c r="AD44" s="3">
        <v>13</v>
      </c>
      <c r="AE44" s="8">
        <v>108</v>
      </c>
      <c r="AF44" s="3">
        <v>54</v>
      </c>
      <c r="AG44" s="3">
        <v>0</v>
      </c>
      <c r="AH44" s="4">
        <v>29</v>
      </c>
      <c r="AI44" s="4">
        <v>7</v>
      </c>
      <c r="AJ44" s="4">
        <v>48</v>
      </c>
      <c r="AK44" s="5">
        <v>75</v>
      </c>
      <c r="AL44" s="5">
        <v>0</v>
      </c>
      <c r="AM44" s="5">
        <v>12</v>
      </c>
      <c r="AN44" s="5">
        <v>30</v>
      </c>
      <c r="AO44" s="5">
        <v>0</v>
      </c>
      <c r="AP44" s="5">
        <v>0</v>
      </c>
      <c r="AQ44" s="5">
        <v>45</v>
      </c>
      <c r="AR44" s="6">
        <v>40</v>
      </c>
      <c r="AS44" s="6">
        <v>0</v>
      </c>
      <c r="AT44" s="6">
        <v>0</v>
      </c>
      <c r="AU44" s="7">
        <v>740</v>
      </c>
      <c r="AV44">
        <v>15</v>
      </c>
      <c r="AW44">
        <v>16</v>
      </c>
      <c r="AX44">
        <v>17</v>
      </c>
      <c r="AY44">
        <f t="shared" si="0"/>
        <v>48</v>
      </c>
      <c r="AZ44">
        <v>29</v>
      </c>
      <c r="BA44">
        <v>28.97</v>
      </c>
      <c r="BB44">
        <v>3</v>
      </c>
      <c r="BC44">
        <v>3</v>
      </c>
      <c r="BD44">
        <v>3</v>
      </c>
      <c r="BE44">
        <v>3</v>
      </c>
      <c r="BF44">
        <v>1</v>
      </c>
      <c r="BG44">
        <v>3</v>
      </c>
      <c r="BH44">
        <v>16</v>
      </c>
      <c r="BI44">
        <v>15.9</v>
      </c>
      <c r="BJ44">
        <v>3</v>
      </c>
      <c r="BK44" s="16" t="s">
        <v>168</v>
      </c>
      <c r="CE44" s="12" t="s">
        <v>149</v>
      </c>
      <c r="CF44">
        <v>3.85</v>
      </c>
      <c r="CG44">
        <v>2.1</v>
      </c>
    </row>
    <row r="45" spans="1:89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 s="2"/>
      <c r="U45" s="2"/>
      <c r="V45" s="2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4"/>
      <c r="AI45" s="4"/>
      <c r="AJ45" s="4"/>
      <c r="AK45" s="5"/>
      <c r="AL45" s="5"/>
      <c r="AM45" s="5"/>
      <c r="AN45" s="5"/>
      <c r="AO45" s="5"/>
      <c r="AP45" s="5"/>
      <c r="AQ45" s="5"/>
      <c r="AR45" s="6"/>
      <c r="AS45" s="6"/>
      <c r="AT45" s="6"/>
      <c r="AU45" s="7"/>
    </row>
    <row r="46" spans="1:89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 s="2"/>
      <c r="U46" s="2"/>
      <c r="V46" s="2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4"/>
      <c r="AI46" s="4"/>
      <c r="AJ46" s="4"/>
      <c r="AK46" s="5"/>
      <c r="AL46" s="5"/>
      <c r="AM46" s="5"/>
      <c r="AN46" s="5"/>
      <c r="AO46" s="5"/>
      <c r="AP46" s="5"/>
      <c r="AQ46" s="5"/>
      <c r="AR46" s="6"/>
      <c r="AS46" s="6"/>
      <c r="AT46" s="6"/>
      <c r="AU46" s="7"/>
    </row>
    <row r="47" spans="1:89">
      <c r="A47" t="s">
        <v>108</v>
      </c>
      <c r="B47">
        <f>AVERAGE(B4:B44)</f>
        <v>64.780487804878049</v>
      </c>
      <c r="C47">
        <f>AVERAGE(C4:C44)</f>
        <v>12.073170731707316</v>
      </c>
      <c r="D47" t="s">
        <v>151</v>
      </c>
      <c r="E47">
        <f>AVERAGE((E4:E44))</f>
        <v>71.643902439024387</v>
      </c>
      <c r="F47" t="s">
        <v>249</v>
      </c>
      <c r="G47" t="s">
        <v>251</v>
      </c>
      <c r="H47" t="s">
        <v>252</v>
      </c>
      <c r="I47" t="s">
        <v>253</v>
      </c>
      <c r="J47">
        <f>AVERAGE((J4:J44))</f>
        <v>478.46341463414632</v>
      </c>
      <c r="K47">
        <f>AVERAGE(K4:K8,K10:K14,K16:K18,K25:K26,K29:K30,K32:K33,K35:K36,K38,K40,K43:K44)</f>
        <v>1.0016</v>
      </c>
      <c r="L47">
        <f t="shared" ref="L47:P47" si="2">AVERAGE((L4:L44))</f>
        <v>8</v>
      </c>
      <c r="M47">
        <f t="shared" si="2"/>
        <v>7.6</v>
      </c>
      <c r="N47">
        <f>AVERAGE((N4:N44))</f>
        <v>2.1219512195121952</v>
      </c>
      <c r="O47">
        <f t="shared" si="2"/>
        <v>25.341463414634145</v>
      </c>
      <c r="P47">
        <f t="shared" si="2"/>
        <v>656.42307692307691</v>
      </c>
      <c r="Q47">
        <f>AVERAGE(Q4:Q44)</f>
        <v>7.4695121951219514</v>
      </c>
      <c r="R47">
        <f>AVERAGE(R4:R44)</f>
        <v>5.8804878048780482</v>
      </c>
      <c r="S47">
        <f t="shared" ref="S47:AT47" si="3">AVERAGE(S4:S44)</f>
        <v>5.8024390243902442</v>
      </c>
      <c r="T47">
        <f t="shared" si="3"/>
        <v>53</v>
      </c>
      <c r="U47">
        <f t="shared" si="3"/>
        <v>73.195121951219505</v>
      </c>
      <c r="V47">
        <f t="shared" si="3"/>
        <v>51.024390243902438</v>
      </c>
      <c r="W47">
        <f t="shared" si="3"/>
        <v>48.707317073170735</v>
      </c>
      <c r="X47">
        <f t="shared" si="3"/>
        <v>41.707317073170735</v>
      </c>
      <c r="Y47">
        <f t="shared" si="3"/>
        <v>32.439024390243901</v>
      </c>
      <c r="Z47">
        <f t="shared" si="3"/>
        <v>50.926829268292686</v>
      </c>
      <c r="AA47">
        <f t="shared" si="3"/>
        <v>65.170731707317074</v>
      </c>
      <c r="AB47">
        <f t="shared" si="3"/>
        <v>65.512195121951223</v>
      </c>
      <c r="AC47">
        <f t="shared" si="3"/>
        <v>36.463414634146339</v>
      </c>
      <c r="AD47">
        <f t="shared" si="3"/>
        <v>34.536585365853661</v>
      </c>
      <c r="AE47">
        <f t="shared" si="3"/>
        <v>84.268292682926827</v>
      </c>
      <c r="AF47">
        <f t="shared" si="3"/>
        <v>40.829268292682926</v>
      </c>
      <c r="AG47">
        <f t="shared" si="3"/>
        <v>21.536585365853657</v>
      </c>
      <c r="AH47">
        <f t="shared" si="3"/>
        <v>35.463414634146339</v>
      </c>
      <c r="AI47">
        <f t="shared" si="3"/>
        <v>23.804878048780488</v>
      </c>
      <c r="AJ47">
        <f t="shared" si="3"/>
        <v>48.390243902439025</v>
      </c>
      <c r="AK47">
        <f>AVERAGE(AK4:AK44)</f>
        <v>55</v>
      </c>
      <c r="AL47">
        <f t="shared" si="3"/>
        <v>49.31707317073171</v>
      </c>
      <c r="AM47">
        <f t="shared" si="3"/>
        <v>43.926829268292686</v>
      </c>
      <c r="AN47">
        <f t="shared" si="3"/>
        <v>43.121951219512198</v>
      </c>
      <c r="AO47">
        <f t="shared" si="3"/>
        <v>37.341463414634148</v>
      </c>
      <c r="AP47">
        <f t="shared" si="3"/>
        <v>38.195121951219512</v>
      </c>
      <c r="AQ47">
        <f t="shared" si="3"/>
        <v>31.219512195121951</v>
      </c>
      <c r="AR47">
        <f t="shared" si="3"/>
        <v>35.560975609756099</v>
      </c>
      <c r="AS47">
        <f t="shared" si="3"/>
        <v>39.951219512195124</v>
      </c>
      <c r="AT47">
        <f t="shared" si="3"/>
        <v>30.048780487804876</v>
      </c>
      <c r="AV47">
        <f t="shared" ref="AV47:BJ47" si="4">AVERAGE(AV4:AV44)</f>
        <v>15.926829268292684</v>
      </c>
      <c r="AW47">
        <f t="shared" si="4"/>
        <v>19.634146341463413</v>
      </c>
      <c r="AX47">
        <f t="shared" si="4"/>
        <v>25.146341463414632</v>
      </c>
      <c r="AY47">
        <f>AVERAGE(AY4:AY44)</f>
        <v>60.707317073170735</v>
      </c>
      <c r="AZ47">
        <f t="shared" si="4"/>
        <v>27.926829268292682</v>
      </c>
      <c r="BA47">
        <f t="shared" si="4"/>
        <v>26.636097560975614</v>
      </c>
      <c r="BB47">
        <f t="shared" si="4"/>
        <v>2.7560975609756095</v>
      </c>
      <c r="BC47">
        <f t="shared" si="4"/>
        <v>2.4878048780487805</v>
      </c>
      <c r="BD47">
        <f t="shared" si="4"/>
        <v>2.5853658536585367</v>
      </c>
      <c r="BE47">
        <f t="shared" si="4"/>
        <v>2.7317073170731709</v>
      </c>
      <c r="BF47">
        <f t="shared" si="4"/>
        <v>1.6097560975609757</v>
      </c>
      <c r="BG47">
        <f t="shared" si="4"/>
        <v>3</v>
      </c>
      <c r="BH47">
        <f t="shared" si="4"/>
        <v>15.170731707317072</v>
      </c>
      <c r="BI47">
        <f t="shared" si="4"/>
        <v>15.099999999999994</v>
      </c>
      <c r="BJ47">
        <f t="shared" si="4"/>
        <v>2.1951219512195124</v>
      </c>
      <c r="CE47" t="s">
        <v>108</v>
      </c>
      <c r="CF47">
        <f>AVERAGE(CF4:CF44)</f>
        <v>2.4200769230769232</v>
      </c>
      <c r="CG47">
        <f>AVERAGE(CG4:CG44)</f>
        <v>1.0016</v>
      </c>
      <c r="CH47">
        <v>12.8</v>
      </c>
      <c r="CI47" s="33">
        <v>8.1999999999999993</v>
      </c>
      <c r="CJ47">
        <v>0.87</v>
      </c>
      <c r="CK47">
        <f>AVERAGE(CK15:CK39)</f>
        <v>7.333333333333333</v>
      </c>
    </row>
    <row r="48" spans="1:89">
      <c r="A48" t="s">
        <v>150</v>
      </c>
      <c r="B48">
        <f>STDEV(B4:B44)</f>
        <v>9.8272890339145622</v>
      </c>
      <c r="C48">
        <f t="shared" ref="C48:D48" si="5">STDEV(C4:C44)</f>
        <v>4.2390461421317367</v>
      </c>
      <c r="D48" t="e">
        <f t="shared" si="5"/>
        <v>#DIV/0!</v>
      </c>
      <c r="E48">
        <f>STDEV(E4:E44)</f>
        <v>13.777845419013989</v>
      </c>
      <c r="F48"/>
      <c r="G48"/>
      <c r="H48"/>
      <c r="I48"/>
      <c r="J48">
        <f t="shared" ref="J48:O48" si="6">STDEV(J4:J44)</f>
        <v>285.39324602738725</v>
      </c>
      <c r="K48">
        <f t="shared" si="6"/>
        <v>0.62816982841691194</v>
      </c>
      <c r="L48">
        <f t="shared" si="6"/>
        <v>6.6932802122726045</v>
      </c>
      <c r="M48">
        <f t="shared" si="6"/>
        <v>2.9664793948382648</v>
      </c>
      <c r="N48">
        <f>STDEV(N4:N44)</f>
        <v>0.74816849543466823</v>
      </c>
      <c r="O48">
        <f t="shared" si="6"/>
        <v>13.679564605822733</v>
      </c>
      <c r="P48">
        <f>STDEV(P4:P44)</f>
        <v>373.0104741775408</v>
      </c>
      <c r="Q48">
        <f t="shared" ref="Q48:AT48" si="7">STDEV(Q4:Q44)</f>
        <v>5.9833610751898938</v>
      </c>
      <c r="R48">
        <f t="shared" si="7"/>
        <v>4.5009009938119684</v>
      </c>
      <c r="S48">
        <f t="shared" si="7"/>
        <v>5.6321615657258128</v>
      </c>
      <c r="T48">
        <f t="shared" si="7"/>
        <v>16.540858502508268</v>
      </c>
      <c r="U48">
        <f t="shared" si="7"/>
        <v>16.590990796506283</v>
      </c>
      <c r="V48">
        <f t="shared" si="7"/>
        <v>20.658518587834475</v>
      </c>
      <c r="W48">
        <f t="shared" si="7"/>
        <v>25.931876043239743</v>
      </c>
      <c r="X48">
        <f t="shared" si="7"/>
        <v>30.174694615222727</v>
      </c>
      <c r="Y48">
        <f t="shared" si="7"/>
        <v>27.986647513133658</v>
      </c>
      <c r="Z48">
        <f t="shared" si="7"/>
        <v>27.338974234508541</v>
      </c>
      <c r="AA48">
        <f t="shared" si="7"/>
        <v>25.532236916322457</v>
      </c>
      <c r="AB48">
        <f t="shared" si="7"/>
        <v>18.428404639603926</v>
      </c>
      <c r="AC48">
        <f t="shared" si="7"/>
        <v>21.640353001944781</v>
      </c>
      <c r="AD48">
        <f t="shared" si="7"/>
        <v>21.263933738816544</v>
      </c>
      <c r="AE48">
        <f>STDEV(AE4:AE44)</f>
        <v>18.82554699104902</v>
      </c>
      <c r="AF48">
        <f t="shared" si="7"/>
        <v>24.143221035131567</v>
      </c>
      <c r="AG48">
        <f t="shared" si="7"/>
        <v>24.087442330990239</v>
      </c>
      <c r="AH48">
        <f t="shared" si="7"/>
        <v>28.41047127466879</v>
      </c>
      <c r="AI48">
        <f t="shared" si="7"/>
        <v>22.614397529223638</v>
      </c>
      <c r="AJ48">
        <f t="shared" si="7"/>
        <v>27.062777064429742</v>
      </c>
      <c r="AK48">
        <f t="shared" si="7"/>
        <v>35.293767155122445</v>
      </c>
      <c r="AL48">
        <f t="shared" si="7"/>
        <v>33.020780596762279</v>
      </c>
      <c r="AM48">
        <f t="shared" si="7"/>
        <v>25.504303797499002</v>
      </c>
      <c r="AN48">
        <f t="shared" si="7"/>
        <v>32.733159885619983</v>
      </c>
      <c r="AO48">
        <f t="shared" si="7"/>
        <v>24.924495738226643</v>
      </c>
      <c r="AP48">
        <f t="shared" si="7"/>
        <v>22.446847787824378</v>
      </c>
      <c r="AQ48">
        <f t="shared" si="7"/>
        <v>27.101210485070546</v>
      </c>
      <c r="AR48">
        <f t="shared" si="7"/>
        <v>25.727464683182259</v>
      </c>
      <c r="AS48">
        <f t="shared" si="7"/>
        <v>31.152809840776957</v>
      </c>
      <c r="AT48">
        <f t="shared" si="7"/>
        <v>27.539926669757307</v>
      </c>
      <c r="AV48">
        <f>STDEV(AV4:AV44)</f>
        <v>2.9273729169892131</v>
      </c>
      <c r="AW48">
        <f>STDEV(AW4:AW44)</f>
        <v>3.7266345243461685</v>
      </c>
      <c r="AX48">
        <f t="shared" ref="AX48:BJ48" si="8">STDEV(AX4:AX44)</f>
        <v>4.7568948675042027</v>
      </c>
      <c r="AY48">
        <f>STDEV(AY4:AY44)</f>
        <v>9.1984887411982488</v>
      </c>
      <c r="AZ48">
        <f t="shared" si="8"/>
        <v>2.240426788610141</v>
      </c>
      <c r="BA48">
        <f t="shared" si="8"/>
        <v>2.2384569216859864</v>
      </c>
      <c r="BB48">
        <f t="shared" si="8"/>
        <v>0.43476935292624119</v>
      </c>
      <c r="BC48">
        <f t="shared" si="8"/>
        <v>0.77852267852363166</v>
      </c>
      <c r="BD48">
        <f t="shared" si="8"/>
        <v>0.77380907710163083</v>
      </c>
      <c r="BE48">
        <f t="shared" si="8"/>
        <v>0.63341890735525275</v>
      </c>
      <c r="BF48">
        <f t="shared" si="8"/>
        <v>1.0458979104216577</v>
      </c>
      <c r="BG48">
        <f t="shared" si="8"/>
        <v>0</v>
      </c>
      <c r="BH48">
        <f t="shared" si="8"/>
        <v>2.4990241998067</v>
      </c>
      <c r="BI48">
        <f t="shared" si="8"/>
        <v>2.3147354060454024</v>
      </c>
      <c r="BJ48">
        <f t="shared" si="8"/>
        <v>1.5527316605763204</v>
      </c>
      <c r="CE48" t="s">
        <v>150</v>
      </c>
    </row>
    <row r="49" spans="1:83">
      <c r="B49"/>
      <c r="C49"/>
      <c r="D49"/>
      <c r="E49"/>
      <c r="F49">
        <f>34/40</f>
        <v>0.85</v>
      </c>
      <c r="G49">
        <f>13/40</f>
        <v>0.32500000000000001</v>
      </c>
      <c r="H49">
        <f>30/40</f>
        <v>0.75</v>
      </c>
      <c r="I49">
        <f>6/41</f>
        <v>0.14634146341463414</v>
      </c>
      <c r="J49"/>
      <c r="K49"/>
      <c r="L49"/>
      <c r="M49"/>
      <c r="N49"/>
      <c r="O49"/>
      <c r="P49"/>
    </row>
    <row r="50" spans="1:83">
      <c r="B50"/>
      <c r="C50"/>
      <c r="D50"/>
      <c r="E50">
        <f>TTEST(POSITIVI!E4:E44,CONTROLLI!E4:E34,2,2)</f>
        <v>0.28297432268992523</v>
      </c>
      <c r="F50"/>
      <c r="G50"/>
      <c r="H50"/>
      <c r="I50"/>
      <c r="J50">
        <f>TTEST(J4:J44,CONTROLLI!J4:J34,2,2)</f>
        <v>0.47835099817512206</v>
      </c>
      <c r="K50"/>
      <c r="L50"/>
      <c r="M50"/>
      <c r="N50"/>
      <c r="O50"/>
      <c r="P50"/>
      <c r="Q50" s="3">
        <f>TTEST(Q4:Q44,CONTROLLI!Q4:Q34,2,2)</f>
        <v>0.85880757238929628</v>
      </c>
      <c r="R50" s="3">
        <f>TTEST(R4:R44,CONTROLLI!R4:R34,2,2)</f>
        <v>0.75444573758337963</v>
      </c>
      <c r="S50" s="3">
        <f>TTEST(S4:S44,CONTROLLI!S4:S34,2,2)</f>
        <v>0.58058424057171543</v>
      </c>
      <c r="T50" s="3">
        <f>TTEST(T4:T44,CONTROLLI!T4:T34,2,2)</f>
        <v>0.11858946539004211</v>
      </c>
      <c r="U50" s="3">
        <f>TTEST(U4:U44,CONTROLLI!U4:U34,2,2)</f>
        <v>0.45841886976267709</v>
      </c>
      <c r="V50" s="3">
        <f>TTEST(V4:V44,CONTROLLI!V4:V34,2,2)</f>
        <v>0.11451576542861538</v>
      </c>
      <c r="W50" s="3">
        <f>TTEST(W4:W44,CONTROLLI!W4:W34,2,2)</f>
        <v>0.49818943661965998</v>
      </c>
      <c r="X50" s="3">
        <f>TTEST(X4:X44,CONTROLLI!X4:X34,2,2)</f>
        <v>0.77136007699703057</v>
      </c>
      <c r="Y50" s="3">
        <f>TTEST(Y4:Y44,CONTROLLI!Y4:Y34,2,2)</f>
        <v>0.22187692168661399</v>
      </c>
      <c r="Z50" s="3">
        <f>TTEST(Z4:Z44,CONTROLLI!Z4:Z34,2,2)</f>
        <v>0.14010464042981211</v>
      </c>
      <c r="AA50" s="3">
        <f>TTEST(AA4:AA44,CONTROLLI!AA4:AA34,2,2)</f>
        <v>0.80469552402528477</v>
      </c>
      <c r="AB50" s="3">
        <f>TTEST(AB4:AB44,CONTROLLI!AB4:AB34,2,2)</f>
        <v>0.51789886055888146</v>
      </c>
      <c r="AC50" s="3">
        <f>TTEST(AC4:AC44,CONTROLLI!AC4:AC34,2,2)</f>
        <v>0.76669331064258406</v>
      </c>
      <c r="AD50" s="3">
        <f>TTEST(AD4:AD44,CONTROLLI!AD4:AD34,2,2)</f>
        <v>0.96719129940758464</v>
      </c>
      <c r="AE50" s="3">
        <f>TTEST(AE4:AE44,CONTROLLI!AE4:AE34,2,2)</f>
        <v>0.78038705536680342</v>
      </c>
      <c r="AF50" s="3">
        <f>TTEST(AF4:AF44,CONTROLLI!AF4:AF34,2,2)</f>
        <v>0.33584996148136326</v>
      </c>
      <c r="AG50" s="3">
        <f>TTEST(AG4:AG44,CONTROLLI!AG4:AG34,2,2)</f>
        <v>0.59751155326793892</v>
      </c>
      <c r="AH50" s="3">
        <f>TTEST(AH4:AH44,CONTROLLI!AH4:AH34,2,2)</f>
        <v>0.42806245938260756</v>
      </c>
      <c r="AI50" s="3">
        <f>TTEST(AI4:AI44,CONTROLLI!AI4:AI34,2,2)</f>
        <v>0.16180830022048584</v>
      </c>
      <c r="AJ50" s="3">
        <f>TTEST(AJ4:AJ44,CONTROLLI!AJ4:AJ34,2,2)</f>
        <v>0.17483119172229447</v>
      </c>
      <c r="AK50" s="3">
        <f>TTEST(AK4:AK44,CONTROLLI!AK4:AK34,2,2)</f>
        <v>0.19073069024840461</v>
      </c>
      <c r="AL50" s="3">
        <f>TTEST(AL4:AL44,CONTROLLI!AL4:AL34,2,2)</f>
        <v>0.33179956715413317</v>
      </c>
      <c r="AM50" s="3">
        <f>TTEST(AM4:AM44,CONTROLLI!AM4:AM34,2,2)</f>
        <v>8.9618481382328488E-2</v>
      </c>
      <c r="AN50" s="3">
        <f>TTEST(AN4:AN44,CONTROLLI!AN4:AN34,2,2)</f>
        <v>0.25646769449292023</v>
      </c>
      <c r="AO50" s="3">
        <f>TTEST(AO4:AO44,CONTROLLI!AO4:AO34,2,2)</f>
        <v>0.17191868462072873</v>
      </c>
      <c r="AP50" s="3">
        <f>TTEST(AP4:AP44,CONTROLLI!AP4:AP34,2,2)</f>
        <v>0.51622890364009955</v>
      </c>
      <c r="AQ50" s="3">
        <f>TTEST(AQ4:AQ44,CONTROLLI!AQ4:AQ34,2,2)</f>
        <v>0.65715867347915724</v>
      </c>
      <c r="AR50" s="3">
        <f>TTEST(AR4:AR44,CONTROLLI!AR4:AR34,2,2)</f>
        <v>0.27005626019449397</v>
      </c>
      <c r="AS50" s="3">
        <f>TTEST(AS4:AS44,CONTROLLI!AS4:AS34,2,2)</f>
        <v>0.25468619889470756</v>
      </c>
      <c r="AT50" s="3">
        <f>TTEST(AT4:AT44,CONTROLLI!AT4:AT34,2,2)</f>
        <v>0.45864706572237346</v>
      </c>
      <c r="AU50" s="3"/>
      <c r="AV50" s="3">
        <f>TTEST(AV4:AV44,CONTROLLI!AV4:AV34,2,2)</f>
        <v>9.9221495695474504E-2</v>
      </c>
      <c r="AW50" s="3">
        <f>TTEST(AW4:AW44,CONTROLLI!AW4:AW34,2,2)</f>
        <v>3.6947454180996972E-2</v>
      </c>
      <c r="AX50" s="3">
        <f>TTEST(AX4:AX44,CONTROLLI!AX4:AX34,2,2)</f>
        <v>0.30600815276837945</v>
      </c>
      <c r="AY50" s="3">
        <f>TTEST(AY4:AY44,CONTROLLI!AY4:AY34,2,2)</f>
        <v>5.4118090506956956E-2</v>
      </c>
      <c r="AZ50" s="3">
        <f>TTEST(AZ4:AZ44,CONTROLLI!AZ4:AZ34,2,2)</f>
        <v>0.13269423285839488</v>
      </c>
      <c r="BA50" s="3">
        <f>TTEST(BA4:BA44,CONTROLLI!BA4:BA34,2,2)</f>
        <v>0.12465272051536594</v>
      </c>
      <c r="BB50" s="3">
        <f>TTEST(BB4:BB44,CONTROLLI!BB4:BB34,2,2)</f>
        <v>0.43819857076518121</v>
      </c>
      <c r="BC50" s="3">
        <f>TTEST(BC4:BC44,CONTROLLI!BC4:BC34,2,2)</f>
        <v>0.55243804027947763</v>
      </c>
      <c r="BD50" s="3">
        <f>TTEST(BD4:BD44,CONTROLLI!BD4:BD34,2,2)</f>
        <v>0.26656068880741912</v>
      </c>
      <c r="BE50" s="3">
        <f>TTEST(BE4:BE44,CONTROLLI!BE4:BE34,2,2)</f>
        <v>0.44570801017897999</v>
      </c>
      <c r="BF50" s="3">
        <f>TTEST(BF4:BF44,CONTROLLI!BF4:BF34,2,2)</f>
        <v>0.13056654506050622</v>
      </c>
      <c r="BG50" s="3" t="e">
        <f>TTEST(BG4:BG44,CONTROLLI!BG4:BG34,2,2)</f>
        <v>#DIV/0!</v>
      </c>
      <c r="BH50" s="3">
        <f>TTEST(BH4:BH44,CONTROLLI!BH4:BH34,2,2)</f>
        <v>0.51095417865200221</v>
      </c>
      <c r="BI50" s="3">
        <f>TTEST(BI4:BI44,CONTROLLI!BI4:BI34,2,2)</f>
        <v>0.3310200494513198</v>
      </c>
      <c r="BJ50" s="3">
        <f>TTEST(BJ4:BJ44,CONTROLLI!BJ4:BJ34,2,2)</f>
        <v>0.18622194081556101</v>
      </c>
    </row>
    <row r="51" spans="1:83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83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S52" s="4" t="s">
        <v>244</v>
      </c>
      <c r="T52" s="4">
        <f>8/41</f>
        <v>0.1951219512195122</v>
      </c>
      <c r="U52" s="5">
        <f>22/41</f>
        <v>0.53658536585365857</v>
      </c>
      <c r="V52" s="5">
        <f>2/41</f>
        <v>4.878048780487805E-2</v>
      </c>
      <c r="W52" s="5">
        <f>4/41</f>
        <v>9.7560975609756101E-2</v>
      </c>
      <c r="X52" s="5">
        <f>4/41</f>
        <v>9.7560975609756101E-2</v>
      </c>
      <c r="Y52" s="5">
        <f>3/41</f>
        <v>7.3170731707317069E-2</v>
      </c>
      <c r="Z52" s="5">
        <f>8/41</f>
        <v>0.1951219512195122</v>
      </c>
      <c r="AA52" s="5">
        <f>15/41</f>
        <v>0.36585365853658536</v>
      </c>
      <c r="AB52" s="5">
        <f>11/41</f>
        <v>0.26829268292682928</v>
      </c>
      <c r="AC52" s="6">
        <v>0</v>
      </c>
      <c r="AD52" s="6">
        <v>0</v>
      </c>
      <c r="AE52" s="7">
        <f>28/41</f>
        <v>0.68292682926829273</v>
      </c>
      <c r="AF52">
        <f>5/41</f>
        <v>0.12195121951219512</v>
      </c>
      <c r="AG52">
        <v>0</v>
      </c>
      <c r="AH52">
        <v>0</v>
      </c>
      <c r="AI52">
        <f>1/41</f>
        <v>2.4390243902439025E-2</v>
      </c>
      <c r="AJ52">
        <f>2/41</f>
        <v>4.878048780487805E-2</v>
      </c>
      <c r="AK52">
        <f>18/41</f>
        <v>0.43902439024390244</v>
      </c>
      <c r="AL52">
        <f>8/41</f>
        <v>0.1951219512195122</v>
      </c>
      <c r="AM52">
        <f>1/41</f>
        <v>2.4390243902439025E-2</v>
      </c>
      <c r="AN52">
        <f>12/41</f>
        <v>0.29268292682926828</v>
      </c>
      <c r="AO52">
        <f>1/41</f>
        <v>2.4390243902439025E-2</v>
      </c>
      <c r="AP52">
        <f>1/41</f>
        <v>2.4390243902439025E-2</v>
      </c>
      <c r="AQ52">
        <v>0</v>
      </c>
      <c r="AR52">
        <v>0</v>
      </c>
      <c r="AS52">
        <f>7/41</f>
        <v>0.17073170731707318</v>
      </c>
      <c r="AT52">
        <f>2/41</f>
        <v>4.878048780487805E-2</v>
      </c>
      <c r="AV52">
        <f>3/41</f>
        <v>7.3170731707317069E-2</v>
      </c>
      <c r="AW52">
        <f>5/41</f>
        <v>0.12195121951219512</v>
      </c>
      <c r="AX52">
        <f>9/41</f>
        <v>0.21951219512195122</v>
      </c>
      <c r="AY52">
        <f>7/41</f>
        <v>0.17073170731707318</v>
      </c>
      <c r="BA52">
        <f>5/41</f>
        <v>0.12195121951219512</v>
      </c>
      <c r="BJ52">
        <f>10/41</f>
        <v>0.24390243902439024</v>
      </c>
    </row>
    <row r="53" spans="1:83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BB53" t="s">
        <v>232</v>
      </c>
      <c r="BD53" t="s">
        <v>233</v>
      </c>
      <c r="BF53" t="s">
        <v>234</v>
      </c>
    </row>
    <row r="54" spans="1:83">
      <c r="A54" t="s">
        <v>223</v>
      </c>
      <c r="B54">
        <f>TTEST(W4:W44:AH4:AH44:AJ4:AJ44,CONTROLLI!W4:W33:'CONTROLLI'!AH4:AH33:'CONTROLLI'!AJ4:AJ33,2,2)</f>
        <v>8.9142925730886655E-2</v>
      </c>
      <c r="C54"/>
      <c r="D54"/>
      <c r="E54"/>
      <c r="F54"/>
      <c r="G54"/>
      <c r="BB54">
        <f>SUM(BB47:BC47)</f>
        <v>5.2439024390243905</v>
      </c>
      <c r="BD54">
        <f>SUM(BD47:BE47)</f>
        <v>5.3170731707317076</v>
      </c>
      <c r="BF54">
        <f>SUM(BF47:BG47)</f>
        <v>4.6097560975609753</v>
      </c>
      <c r="CE54" t="s">
        <v>223</v>
      </c>
    </row>
    <row r="55" spans="1:83">
      <c r="A55" t="s">
        <v>213</v>
      </c>
      <c r="B55">
        <f>TTEST(AC4:AC44:AI4:AI44:AA4:AA44:AB4:AB44,CONTROLLI!AC4:AC33:'CONTROLLI'!AA4:AA33:'CONTROLLI'!AB4:AB33:'CONTROLLI'!AI4:AI33,2,2)</f>
        <v>0.3254305799839462</v>
      </c>
      <c r="C55"/>
      <c r="D55"/>
      <c r="E55"/>
      <c r="F55"/>
      <c r="G55"/>
      <c r="BB55">
        <f>STDEV(BB4:BC44)</f>
        <v>0.64099159106286951</v>
      </c>
      <c r="BD55">
        <f>STDEV(BD4:BE44)</f>
        <v>0.70657428108753706</v>
      </c>
      <c r="BF55">
        <f>STDEV(BF4:BG44)</f>
        <v>1.0145731254668646</v>
      </c>
      <c r="CE55" t="s">
        <v>213</v>
      </c>
    </row>
    <row r="56" spans="1:83">
      <c r="A56" t="s">
        <v>224</v>
      </c>
      <c r="B56">
        <f>TTEST(X4:X44:Z4:Z44:AE4:AE44,CONTROLLI!X4:X33:'CONTROLLI'!Z4:Z33:'CONTROLLI'!AE4:AE33,2,2)</f>
        <v>0.29719334513466283</v>
      </c>
      <c r="C56"/>
      <c r="D56"/>
      <c r="E56"/>
      <c r="F56"/>
      <c r="G56"/>
      <c r="BA56" t="s">
        <v>238</v>
      </c>
      <c r="BB56">
        <f>TTEST(BB4:BC44,CONTROLLI!BB4:BC33,2,2)</f>
        <v>0.85064507197999317</v>
      </c>
      <c r="BD56">
        <f>TTEST(BD4:BE44,CONTROLLI!BD4:BE33,2,2)</f>
        <v>0.83371821384955314</v>
      </c>
      <c r="BF56">
        <f>TTEST(BF4:BG44,CONTROLLI!BF4:BG33,2,2)</f>
        <v>0.23955064017430774</v>
      </c>
      <c r="CE56" t="s">
        <v>224</v>
      </c>
    </row>
    <row r="57" spans="1:83">
      <c r="B57"/>
      <c r="C57"/>
      <c r="D57"/>
      <c r="E57"/>
      <c r="F57"/>
      <c r="G57"/>
    </row>
    <row r="58" spans="1:83">
      <c r="B58"/>
      <c r="C58"/>
      <c r="D58"/>
      <c r="E58"/>
      <c r="F58"/>
      <c r="G58"/>
    </row>
    <row r="59" spans="1:83">
      <c r="B59"/>
      <c r="C59"/>
      <c r="D59"/>
      <c r="E59"/>
      <c r="F59"/>
      <c r="G59"/>
    </row>
    <row r="60" spans="1:83">
      <c r="B60"/>
      <c r="C60"/>
      <c r="D60"/>
      <c r="E60"/>
      <c r="F60"/>
      <c r="G60"/>
    </row>
    <row r="61" spans="1:83">
      <c r="B61"/>
      <c r="C61"/>
      <c r="D61"/>
      <c r="E61"/>
      <c r="F61"/>
      <c r="G61"/>
    </row>
    <row r="62" spans="1:83">
      <c r="B62"/>
      <c r="C62"/>
      <c r="D62"/>
      <c r="E62"/>
      <c r="F62"/>
      <c r="G62"/>
    </row>
    <row r="63" spans="1:83">
      <c r="B63"/>
      <c r="C63"/>
      <c r="D63"/>
      <c r="E63"/>
      <c r="F63"/>
      <c r="G63"/>
    </row>
    <row r="64" spans="1:83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69" spans="2:7">
      <c r="B69"/>
      <c r="C69"/>
      <c r="D69"/>
      <c r="E69"/>
      <c r="F69"/>
      <c r="G69"/>
    </row>
    <row r="70" spans="2:7">
      <c r="B70"/>
      <c r="C70"/>
      <c r="D70"/>
      <c r="E70"/>
      <c r="F70"/>
      <c r="G70"/>
    </row>
    <row r="71" spans="2:7">
      <c r="B71"/>
      <c r="C71"/>
      <c r="D71"/>
      <c r="E71"/>
      <c r="F71"/>
      <c r="G71"/>
    </row>
    <row r="72" spans="2:7">
      <c r="B72"/>
      <c r="C72"/>
      <c r="D72"/>
      <c r="E72"/>
      <c r="F72"/>
      <c r="G72"/>
    </row>
    <row r="73" spans="2:7">
      <c r="B73"/>
      <c r="C73"/>
      <c r="D73"/>
      <c r="E73"/>
      <c r="F73"/>
      <c r="G73"/>
    </row>
    <row r="74" spans="2:7">
      <c r="B74"/>
      <c r="C74"/>
      <c r="D74"/>
      <c r="E74"/>
      <c r="F74"/>
      <c r="G74"/>
    </row>
    <row r="75" spans="2:7">
      <c r="B75"/>
      <c r="C75"/>
      <c r="D75"/>
      <c r="E75"/>
      <c r="F75"/>
      <c r="G75"/>
    </row>
    <row r="76" spans="2:7">
      <c r="B76"/>
      <c r="C76"/>
      <c r="D76"/>
      <c r="E76"/>
      <c r="F76"/>
      <c r="G76"/>
    </row>
    <row r="77" spans="2:7">
      <c r="B77"/>
      <c r="C77"/>
      <c r="D77"/>
      <c r="E77"/>
      <c r="F77"/>
      <c r="G77"/>
    </row>
    <row r="78" spans="2:7">
      <c r="B78"/>
      <c r="C78"/>
      <c r="D78"/>
      <c r="E78"/>
      <c r="F78"/>
      <c r="G78"/>
    </row>
    <row r="79" spans="2:7">
      <c r="B79"/>
      <c r="C79"/>
      <c r="D79"/>
      <c r="E79"/>
      <c r="F79"/>
      <c r="G79"/>
    </row>
    <row r="80" spans="2:7">
      <c r="B80"/>
      <c r="C80"/>
      <c r="D80"/>
      <c r="E80"/>
      <c r="F80"/>
      <c r="G80"/>
    </row>
    <row r="81" spans="2:7">
      <c r="B81"/>
      <c r="C81"/>
      <c r="D81"/>
      <c r="E81"/>
      <c r="F81"/>
      <c r="G81"/>
    </row>
    <row r="82" spans="2:7">
      <c r="B82"/>
      <c r="C82"/>
      <c r="D82"/>
      <c r="E82"/>
      <c r="F82"/>
      <c r="G82"/>
    </row>
    <row r="83" spans="2:7">
      <c r="B83"/>
      <c r="C83"/>
      <c r="D83"/>
      <c r="E83"/>
      <c r="F83"/>
      <c r="G83"/>
    </row>
    <row r="84" spans="2:7">
      <c r="B84"/>
      <c r="C84"/>
      <c r="D84"/>
      <c r="E84"/>
      <c r="F84"/>
      <c r="G84"/>
    </row>
    <row r="85" spans="2:7">
      <c r="B85"/>
      <c r="C85"/>
      <c r="D85"/>
      <c r="E85"/>
      <c r="F85"/>
      <c r="G85"/>
    </row>
    <row r="86" spans="2:7">
      <c r="B86"/>
      <c r="C86"/>
      <c r="D86"/>
      <c r="E86"/>
      <c r="F86"/>
      <c r="G86"/>
    </row>
    <row r="87" spans="2:7">
      <c r="B87"/>
      <c r="C87"/>
      <c r="D87"/>
      <c r="E87"/>
      <c r="F87"/>
      <c r="G87"/>
    </row>
    <row r="88" spans="2:7">
      <c r="B88"/>
      <c r="C88"/>
      <c r="D88"/>
      <c r="E88"/>
      <c r="F88"/>
      <c r="G88"/>
    </row>
    <row r="89" spans="2:7">
      <c r="B89"/>
      <c r="C89"/>
      <c r="D89"/>
      <c r="E89"/>
      <c r="F89"/>
      <c r="G89"/>
    </row>
    <row r="90" spans="2:7">
      <c r="B90"/>
      <c r="C90"/>
      <c r="D90"/>
      <c r="E90"/>
      <c r="F90"/>
      <c r="G90"/>
    </row>
  </sheetData>
  <pageMargins left="0.7" right="0.7" top="0.75" bottom="0.75" header="0.3" footer="0.3"/>
  <pageSetup paperSize="9" scale="2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3601E-A469-4D8E-87DA-7CCBF1DED6CE}">
  <dimension ref="A1:AK109"/>
  <sheetViews>
    <sheetView tabSelected="1" workbookViewId="0">
      <selection activeCell="AB9" sqref="AB9"/>
    </sheetView>
  </sheetViews>
  <sheetFormatPr defaultRowHeight="15.5"/>
  <cols>
    <col min="5" max="5" width="11.5" customWidth="1"/>
    <col min="6" max="6" width="14.1640625" customWidth="1"/>
    <col min="7" max="7" width="11.5" customWidth="1"/>
    <col min="8" max="8" width="11.25" customWidth="1"/>
    <col min="9" max="9" width="11.5" customWidth="1"/>
    <col min="10" max="10" width="10.6640625" customWidth="1"/>
    <col min="14" max="14" width="9" customWidth="1"/>
    <col min="15" max="15" width="10" customWidth="1"/>
    <col min="18" max="18" width="11.08203125" customWidth="1"/>
    <col min="19" max="19" width="11.5" customWidth="1"/>
    <col min="20" max="20" width="11.25" customWidth="1"/>
  </cols>
  <sheetData>
    <row r="1" spans="1:37" s="37" customFormat="1">
      <c r="A1" s="37" t="s">
        <v>309</v>
      </c>
      <c r="B1" s="37" t="s">
        <v>310</v>
      </c>
      <c r="C1" s="37" t="s">
        <v>311</v>
      </c>
      <c r="D1" s="37" t="s">
        <v>312</v>
      </c>
      <c r="E1" s="37" t="s">
        <v>313</v>
      </c>
      <c r="F1" s="37" t="s">
        <v>315</v>
      </c>
      <c r="G1" s="37" t="s">
        <v>314</v>
      </c>
      <c r="H1" s="37" t="s">
        <v>316</v>
      </c>
      <c r="I1" s="37" t="s">
        <v>318</v>
      </c>
      <c r="J1" s="37" t="s">
        <v>317</v>
      </c>
      <c r="K1" s="37" t="s">
        <v>319</v>
      </c>
      <c r="N1" s="37" t="s">
        <v>320</v>
      </c>
      <c r="O1" s="37" t="s">
        <v>322</v>
      </c>
      <c r="P1" s="37" t="s">
        <v>321</v>
      </c>
      <c r="R1" s="37" t="s">
        <v>323</v>
      </c>
      <c r="S1" s="37" t="s">
        <v>325</v>
      </c>
      <c r="T1" s="37" t="s">
        <v>324</v>
      </c>
      <c r="V1" s="37" t="s">
        <v>326</v>
      </c>
      <c r="W1" s="37" t="s">
        <v>327</v>
      </c>
      <c r="X1" s="37" t="s">
        <v>328</v>
      </c>
    </row>
    <row r="2" spans="1:37">
      <c r="A2" t="s">
        <v>263</v>
      </c>
      <c r="B2" t="s">
        <v>264</v>
      </c>
      <c r="C2" t="s">
        <v>178</v>
      </c>
      <c r="D2" t="s">
        <v>265</v>
      </c>
      <c r="E2">
        <v>0.99809999999999999</v>
      </c>
      <c r="H2">
        <v>0.52</v>
      </c>
      <c r="K2">
        <v>69</v>
      </c>
      <c r="N2">
        <v>132.440192307692</v>
      </c>
      <c r="O2" t="s">
        <v>266</v>
      </c>
      <c r="P2" t="s">
        <v>266</v>
      </c>
      <c r="R2" s="36">
        <v>7.5362318840579701E-3</v>
      </c>
      <c r="S2" t="s">
        <v>266</v>
      </c>
      <c r="T2" t="s">
        <v>266</v>
      </c>
      <c r="V2" t="s">
        <v>264</v>
      </c>
      <c r="W2" t="s">
        <v>264</v>
      </c>
      <c r="X2" t="s">
        <v>264</v>
      </c>
    </row>
    <row r="3" spans="1:37">
      <c r="A3" t="s">
        <v>267</v>
      </c>
      <c r="B3" t="s">
        <v>264</v>
      </c>
      <c r="C3" t="s">
        <v>178</v>
      </c>
      <c r="D3" t="s">
        <v>268</v>
      </c>
      <c r="E3">
        <v>0.66976000000000002</v>
      </c>
      <c r="H3">
        <v>0.18</v>
      </c>
      <c r="K3">
        <v>50</v>
      </c>
      <c r="N3">
        <v>186.044444444444</v>
      </c>
      <c r="O3" t="s">
        <v>266</v>
      </c>
      <c r="P3" t="s">
        <v>266</v>
      </c>
      <c r="R3" s="36">
        <v>3.5999999999999999E-3</v>
      </c>
      <c r="S3" t="s">
        <v>266</v>
      </c>
      <c r="T3" t="s">
        <v>266</v>
      </c>
      <c r="V3" t="s">
        <v>264</v>
      </c>
      <c r="W3" t="s">
        <v>264</v>
      </c>
      <c r="X3" t="s">
        <v>264</v>
      </c>
    </row>
    <row r="4" spans="1:37">
      <c r="A4" t="s">
        <v>269</v>
      </c>
      <c r="B4" t="s">
        <v>144</v>
      </c>
      <c r="C4" t="s">
        <v>178</v>
      </c>
      <c r="D4" t="s">
        <v>265</v>
      </c>
      <c r="E4">
        <v>3.5116550000000002</v>
      </c>
      <c r="H4">
        <v>1.05</v>
      </c>
      <c r="K4">
        <v>41</v>
      </c>
      <c r="N4">
        <v>137.12176666666599</v>
      </c>
      <c r="O4" t="s">
        <v>266</v>
      </c>
      <c r="P4" t="s">
        <v>266</v>
      </c>
      <c r="R4">
        <v>2.5609756097560998E-2</v>
      </c>
      <c r="S4" t="s">
        <v>266</v>
      </c>
      <c r="T4" t="s">
        <v>266</v>
      </c>
      <c r="V4" t="s">
        <v>264</v>
      </c>
      <c r="W4" t="s">
        <v>264</v>
      </c>
      <c r="X4" t="s">
        <v>264</v>
      </c>
    </row>
    <row r="5" spans="1:37">
      <c r="A5" t="s">
        <v>99</v>
      </c>
      <c r="B5" t="s">
        <v>144</v>
      </c>
      <c r="C5" t="s">
        <v>180</v>
      </c>
      <c r="F5">
        <v>0.247</v>
      </c>
      <c r="I5">
        <v>8</v>
      </c>
      <c r="K5">
        <v>64</v>
      </c>
      <c r="N5" t="s">
        <v>266</v>
      </c>
      <c r="O5">
        <v>1.976</v>
      </c>
      <c r="P5" t="s">
        <v>266</v>
      </c>
      <c r="R5" t="s">
        <v>266</v>
      </c>
      <c r="S5">
        <v>0.125</v>
      </c>
      <c r="T5" t="s">
        <v>266</v>
      </c>
      <c r="V5" t="s">
        <v>264</v>
      </c>
      <c r="W5" t="s">
        <v>264</v>
      </c>
      <c r="X5" t="s">
        <v>264</v>
      </c>
    </row>
    <row r="6" spans="1:37">
      <c r="A6" t="s">
        <v>77</v>
      </c>
      <c r="B6" t="s">
        <v>144</v>
      </c>
      <c r="C6" t="s">
        <v>180</v>
      </c>
      <c r="F6">
        <v>0.4</v>
      </c>
      <c r="I6">
        <v>12</v>
      </c>
      <c r="K6">
        <v>90</v>
      </c>
      <c r="N6" t="s">
        <v>266</v>
      </c>
      <c r="O6">
        <v>3</v>
      </c>
      <c r="P6" t="s">
        <v>266</v>
      </c>
      <c r="R6" t="s">
        <v>266</v>
      </c>
      <c r="S6">
        <v>0.133333333333333</v>
      </c>
      <c r="T6" t="s">
        <v>266</v>
      </c>
      <c r="V6" t="s">
        <v>264</v>
      </c>
      <c r="W6" t="s">
        <v>264</v>
      </c>
      <c r="X6" t="s">
        <v>264</v>
      </c>
    </row>
    <row r="7" spans="1:37">
      <c r="A7" t="s">
        <v>67</v>
      </c>
      <c r="B7" t="s">
        <v>264</v>
      </c>
      <c r="C7" t="s">
        <v>178</v>
      </c>
      <c r="D7" t="s">
        <v>265</v>
      </c>
      <c r="E7">
        <v>2.8590399999999998</v>
      </c>
      <c r="H7">
        <v>1.05</v>
      </c>
      <c r="K7">
        <v>65</v>
      </c>
      <c r="N7">
        <v>176.98819047619</v>
      </c>
      <c r="O7" t="s">
        <v>266</v>
      </c>
      <c r="P7" t="s">
        <v>266</v>
      </c>
      <c r="R7">
        <v>1.6153846153846199E-2</v>
      </c>
      <c r="S7" t="s">
        <v>266</v>
      </c>
      <c r="T7" t="s">
        <v>266</v>
      </c>
      <c r="V7" t="s">
        <v>264</v>
      </c>
      <c r="W7" t="s">
        <v>264</v>
      </c>
      <c r="X7" t="s">
        <v>264</v>
      </c>
    </row>
    <row r="8" spans="1:37">
      <c r="A8" t="s">
        <v>94</v>
      </c>
      <c r="B8" t="s">
        <v>144</v>
      </c>
      <c r="C8" t="s">
        <v>178</v>
      </c>
      <c r="D8" t="s">
        <v>268</v>
      </c>
      <c r="E8">
        <v>1.1152150000000001</v>
      </c>
      <c r="H8">
        <v>0.36</v>
      </c>
      <c r="K8">
        <v>70</v>
      </c>
      <c r="N8">
        <v>216.84736111111101</v>
      </c>
      <c r="O8" t="s">
        <v>266</v>
      </c>
      <c r="P8" t="s">
        <v>266</v>
      </c>
      <c r="R8" s="36">
        <v>5.14285714285714E-3</v>
      </c>
      <c r="S8" t="s">
        <v>266</v>
      </c>
      <c r="T8" t="s">
        <v>266</v>
      </c>
      <c r="V8" t="s">
        <v>264</v>
      </c>
      <c r="W8" t="s">
        <v>264</v>
      </c>
      <c r="X8" t="s">
        <v>264</v>
      </c>
    </row>
    <row r="9" spans="1:37">
      <c r="A9" t="s">
        <v>270</v>
      </c>
      <c r="B9" t="s">
        <v>264</v>
      </c>
      <c r="C9" t="s">
        <v>178</v>
      </c>
      <c r="D9" t="s">
        <v>265</v>
      </c>
      <c r="E9">
        <v>5.8026609999999996</v>
      </c>
      <c r="H9">
        <v>1.05</v>
      </c>
      <c r="K9">
        <v>52</v>
      </c>
      <c r="N9">
        <v>287.36987809523799</v>
      </c>
      <c r="O9" t="s">
        <v>266</v>
      </c>
      <c r="P9" t="s">
        <v>266</v>
      </c>
      <c r="R9">
        <v>2.01923076923077E-2</v>
      </c>
      <c r="S9" t="s">
        <v>266</v>
      </c>
      <c r="T9" t="s">
        <v>266</v>
      </c>
      <c r="V9" t="s">
        <v>264</v>
      </c>
      <c r="W9" t="s">
        <v>264</v>
      </c>
      <c r="X9" t="s">
        <v>264</v>
      </c>
      <c r="AB9">
        <v>0</v>
      </c>
    </row>
    <row r="10" spans="1:37">
      <c r="A10" t="s">
        <v>271</v>
      </c>
      <c r="B10" t="s">
        <v>264</v>
      </c>
      <c r="C10" t="s">
        <v>178</v>
      </c>
      <c r="D10" t="s">
        <v>265</v>
      </c>
      <c r="E10">
        <v>2.2014</v>
      </c>
      <c r="H10">
        <v>0.52</v>
      </c>
      <c r="K10">
        <v>80</v>
      </c>
      <c r="N10">
        <v>338.676923076923</v>
      </c>
      <c r="O10" t="s">
        <v>266</v>
      </c>
      <c r="P10" t="s">
        <v>266</v>
      </c>
      <c r="R10" s="36">
        <v>6.4999999999999997E-3</v>
      </c>
      <c r="S10" t="s">
        <v>266</v>
      </c>
      <c r="T10" t="s">
        <v>266</v>
      </c>
      <c r="V10" t="s">
        <v>264</v>
      </c>
      <c r="W10" t="s">
        <v>264</v>
      </c>
      <c r="X10" t="s">
        <v>264</v>
      </c>
    </row>
    <row r="11" spans="1:37">
      <c r="A11" t="s">
        <v>84</v>
      </c>
      <c r="B11" t="s">
        <v>264</v>
      </c>
      <c r="C11" t="s">
        <v>180</v>
      </c>
      <c r="F11">
        <v>1.27</v>
      </c>
      <c r="I11">
        <v>8</v>
      </c>
      <c r="K11">
        <v>84</v>
      </c>
      <c r="N11" t="s">
        <v>266</v>
      </c>
      <c r="O11">
        <v>13.335000000000001</v>
      </c>
      <c r="P11" t="s">
        <v>266</v>
      </c>
      <c r="R11" t="s">
        <v>266</v>
      </c>
      <c r="S11">
        <v>9.5238095238095205E-2</v>
      </c>
      <c r="T11" t="s">
        <v>266</v>
      </c>
      <c r="V11" t="s">
        <v>264</v>
      </c>
      <c r="W11" t="s">
        <v>264</v>
      </c>
      <c r="X11" t="s">
        <v>264</v>
      </c>
    </row>
    <row r="12" spans="1:37">
      <c r="A12" t="s">
        <v>272</v>
      </c>
      <c r="B12" t="s">
        <v>264</v>
      </c>
      <c r="C12" t="s">
        <v>178</v>
      </c>
      <c r="D12" t="s">
        <v>265</v>
      </c>
      <c r="E12">
        <v>5.990526</v>
      </c>
      <c r="H12">
        <v>1.57</v>
      </c>
      <c r="K12">
        <v>44</v>
      </c>
      <c r="N12">
        <v>167.887352866242</v>
      </c>
      <c r="O12" t="s">
        <v>266</v>
      </c>
      <c r="P12" t="s">
        <v>266</v>
      </c>
      <c r="R12">
        <v>3.5681818181818203E-2</v>
      </c>
      <c r="S12" t="s">
        <v>266</v>
      </c>
      <c r="T12" t="s">
        <v>266</v>
      </c>
      <c r="V12" t="s">
        <v>264</v>
      </c>
      <c r="W12" t="s">
        <v>144</v>
      </c>
      <c r="X12" t="s">
        <v>144</v>
      </c>
    </row>
    <row r="13" spans="1:37">
      <c r="A13" t="s">
        <v>273</v>
      </c>
      <c r="B13" t="s">
        <v>264</v>
      </c>
      <c r="C13" t="s">
        <v>178</v>
      </c>
      <c r="D13" t="s">
        <v>265</v>
      </c>
      <c r="E13">
        <v>3.1129340000000001</v>
      </c>
      <c r="H13">
        <v>0.52</v>
      </c>
      <c r="K13">
        <v>75</v>
      </c>
      <c r="N13">
        <v>448.98086538461502</v>
      </c>
      <c r="O13" t="s">
        <v>266</v>
      </c>
      <c r="P13" t="s">
        <v>266</v>
      </c>
      <c r="R13" s="36">
        <v>6.9333333333333304E-3</v>
      </c>
      <c r="S13" t="s">
        <v>266</v>
      </c>
      <c r="T13" t="s">
        <v>266</v>
      </c>
      <c r="V13" t="s">
        <v>264</v>
      </c>
      <c r="W13" t="s">
        <v>144</v>
      </c>
      <c r="X13" t="s">
        <v>144</v>
      </c>
      <c r="AK13" s="36"/>
    </row>
    <row r="14" spans="1:37">
      <c r="A14" t="s">
        <v>274</v>
      </c>
      <c r="B14" t="s">
        <v>264</v>
      </c>
      <c r="C14" t="s">
        <v>178</v>
      </c>
      <c r="D14" t="s">
        <v>265</v>
      </c>
      <c r="E14">
        <v>1.253633</v>
      </c>
      <c r="H14">
        <v>0.52</v>
      </c>
      <c r="K14">
        <v>83</v>
      </c>
      <c r="N14">
        <v>200.099113461538</v>
      </c>
      <c r="O14" t="s">
        <v>266</v>
      </c>
      <c r="P14" t="s">
        <v>266</v>
      </c>
      <c r="R14" s="36">
        <v>6.2650602409638498E-3</v>
      </c>
      <c r="S14" t="s">
        <v>266</v>
      </c>
      <c r="T14" t="s">
        <v>266</v>
      </c>
      <c r="V14" t="s">
        <v>264</v>
      </c>
      <c r="W14" t="s">
        <v>144</v>
      </c>
      <c r="X14" t="s">
        <v>144</v>
      </c>
    </row>
    <row r="15" spans="1:37">
      <c r="A15" t="s">
        <v>275</v>
      </c>
      <c r="B15" t="s">
        <v>264</v>
      </c>
      <c r="C15" t="s">
        <v>178</v>
      </c>
      <c r="D15" t="s">
        <v>265</v>
      </c>
      <c r="E15">
        <v>5.9906860000000002</v>
      </c>
      <c r="H15">
        <v>2.1</v>
      </c>
      <c r="K15">
        <v>78</v>
      </c>
      <c r="N15">
        <v>222.511194285714</v>
      </c>
      <c r="O15" t="s">
        <v>266</v>
      </c>
      <c r="P15" t="s">
        <v>266</v>
      </c>
      <c r="R15">
        <v>2.69230769230769E-2</v>
      </c>
      <c r="S15" t="s">
        <v>266</v>
      </c>
      <c r="T15" t="s">
        <v>266</v>
      </c>
      <c r="V15" t="s">
        <v>264</v>
      </c>
      <c r="W15" t="s">
        <v>144</v>
      </c>
      <c r="X15" t="s">
        <v>144</v>
      </c>
    </row>
    <row r="16" spans="1:37">
      <c r="A16" t="s">
        <v>276</v>
      </c>
      <c r="B16" t="s">
        <v>264</v>
      </c>
      <c r="C16" t="s">
        <v>178</v>
      </c>
      <c r="D16" t="s">
        <v>265</v>
      </c>
      <c r="E16">
        <v>0.63094499999999998</v>
      </c>
      <c r="H16">
        <v>0.26</v>
      </c>
      <c r="K16">
        <v>77</v>
      </c>
      <c r="N16">
        <v>186.856788461538</v>
      </c>
      <c r="O16" t="s">
        <v>266</v>
      </c>
      <c r="P16" t="s">
        <v>266</v>
      </c>
      <c r="R16" s="36">
        <v>3.3766233766233701E-3</v>
      </c>
      <c r="S16" t="s">
        <v>266</v>
      </c>
      <c r="T16" t="s">
        <v>266</v>
      </c>
      <c r="V16" t="s">
        <v>264</v>
      </c>
      <c r="W16" t="s">
        <v>144</v>
      </c>
      <c r="X16" t="s">
        <v>144</v>
      </c>
    </row>
    <row r="17" spans="1:24">
      <c r="A17" t="s">
        <v>61</v>
      </c>
      <c r="B17" t="s">
        <v>264</v>
      </c>
      <c r="C17" t="s">
        <v>178</v>
      </c>
      <c r="D17" t="s">
        <v>265</v>
      </c>
      <c r="E17">
        <v>9.02</v>
      </c>
      <c r="H17">
        <v>2.1</v>
      </c>
      <c r="K17">
        <v>76</v>
      </c>
      <c r="N17">
        <v>326.438095238095</v>
      </c>
      <c r="O17" t="s">
        <v>266</v>
      </c>
      <c r="P17" t="s">
        <v>266</v>
      </c>
      <c r="R17">
        <v>2.7631578947368399E-2</v>
      </c>
      <c r="S17" t="s">
        <v>266</v>
      </c>
      <c r="T17" t="s">
        <v>266</v>
      </c>
      <c r="V17" t="s">
        <v>264</v>
      </c>
      <c r="W17" t="s">
        <v>144</v>
      </c>
      <c r="X17" t="s">
        <v>144</v>
      </c>
    </row>
    <row r="18" spans="1:24">
      <c r="A18" t="s">
        <v>65</v>
      </c>
      <c r="B18" t="s">
        <v>264</v>
      </c>
      <c r="C18" t="s">
        <v>179</v>
      </c>
      <c r="D18" t="s">
        <v>265</v>
      </c>
      <c r="G18">
        <v>7.22</v>
      </c>
      <c r="J18">
        <v>6</v>
      </c>
      <c r="K18">
        <v>80</v>
      </c>
      <c r="N18" t="s">
        <v>266</v>
      </c>
      <c r="O18" t="s">
        <v>266</v>
      </c>
      <c r="P18">
        <v>96.266666666666595</v>
      </c>
      <c r="R18" t="s">
        <v>266</v>
      </c>
      <c r="S18" t="s">
        <v>266</v>
      </c>
      <c r="T18">
        <v>7.4999999999999997E-2</v>
      </c>
      <c r="V18" t="s">
        <v>264</v>
      </c>
      <c r="X18" t="s">
        <v>144</v>
      </c>
    </row>
    <row r="19" spans="1:24">
      <c r="A19" t="s">
        <v>69</v>
      </c>
      <c r="B19" t="s">
        <v>264</v>
      </c>
      <c r="C19" t="s">
        <v>178</v>
      </c>
      <c r="D19" t="s">
        <v>265</v>
      </c>
      <c r="E19">
        <v>19.399999999999999</v>
      </c>
      <c r="H19">
        <v>3.06</v>
      </c>
      <c r="K19">
        <v>70</v>
      </c>
      <c r="N19">
        <v>443.79084967320199</v>
      </c>
      <c r="O19" t="s">
        <v>266</v>
      </c>
      <c r="P19" t="s">
        <v>266</v>
      </c>
      <c r="R19">
        <v>4.3714285714285699E-2</v>
      </c>
      <c r="S19" t="s">
        <v>266</v>
      </c>
      <c r="T19" t="s">
        <v>266</v>
      </c>
      <c r="V19" t="s">
        <v>264</v>
      </c>
      <c r="X19" t="s">
        <v>144</v>
      </c>
    </row>
    <row r="20" spans="1:24">
      <c r="A20" t="s">
        <v>2</v>
      </c>
      <c r="B20" t="s">
        <v>144</v>
      </c>
      <c r="C20" t="s">
        <v>178</v>
      </c>
      <c r="D20" t="s">
        <v>265</v>
      </c>
      <c r="E20">
        <v>4.58</v>
      </c>
      <c r="H20">
        <v>2.1</v>
      </c>
      <c r="K20">
        <v>55</v>
      </c>
      <c r="N20">
        <v>119.95238095238</v>
      </c>
      <c r="O20" t="s">
        <v>266</v>
      </c>
      <c r="P20" t="s">
        <v>266</v>
      </c>
      <c r="R20">
        <v>3.8181818181818199E-2</v>
      </c>
      <c r="S20" t="s">
        <v>266</v>
      </c>
      <c r="T20" t="s">
        <v>266</v>
      </c>
      <c r="V20" t="s">
        <v>264</v>
      </c>
      <c r="X20" t="s">
        <v>144</v>
      </c>
    </row>
    <row r="21" spans="1:24">
      <c r="A21" t="s">
        <v>2</v>
      </c>
      <c r="B21" t="s">
        <v>144</v>
      </c>
      <c r="C21" t="s">
        <v>179</v>
      </c>
      <c r="D21" t="s">
        <v>265</v>
      </c>
      <c r="G21">
        <v>26.73</v>
      </c>
      <c r="J21">
        <v>8</v>
      </c>
      <c r="K21">
        <v>55</v>
      </c>
      <c r="N21" t="s">
        <v>266</v>
      </c>
      <c r="O21" t="s">
        <v>266</v>
      </c>
      <c r="P21">
        <v>183.76875000000001</v>
      </c>
      <c r="R21" t="s">
        <v>266</v>
      </c>
      <c r="S21" t="s">
        <v>266</v>
      </c>
      <c r="T21">
        <v>0.145454545454545</v>
      </c>
      <c r="V21" t="s">
        <v>264</v>
      </c>
      <c r="X21" t="s">
        <v>144</v>
      </c>
    </row>
    <row r="22" spans="1:24">
      <c r="A22" t="s">
        <v>71</v>
      </c>
      <c r="B22" t="s">
        <v>264</v>
      </c>
      <c r="C22" t="s">
        <v>178</v>
      </c>
      <c r="D22" t="s">
        <v>268</v>
      </c>
      <c r="E22">
        <v>0.73672599999999999</v>
      </c>
      <c r="H22">
        <v>0.54</v>
      </c>
      <c r="K22">
        <v>48</v>
      </c>
      <c r="N22">
        <v>65.486755555555504</v>
      </c>
      <c r="O22" t="s">
        <v>266</v>
      </c>
      <c r="P22" t="s">
        <v>266</v>
      </c>
      <c r="R22">
        <v>1.125E-2</v>
      </c>
      <c r="S22" t="s">
        <v>266</v>
      </c>
      <c r="T22" t="s">
        <v>266</v>
      </c>
      <c r="V22" t="s">
        <v>264</v>
      </c>
      <c r="X22" t="s">
        <v>144</v>
      </c>
    </row>
    <row r="23" spans="1:24">
      <c r="A23" t="s">
        <v>53</v>
      </c>
      <c r="B23" t="s">
        <v>144</v>
      </c>
      <c r="C23" t="s">
        <v>178</v>
      </c>
      <c r="D23" t="s">
        <v>265</v>
      </c>
      <c r="E23">
        <v>1.3119259999999999</v>
      </c>
      <c r="H23">
        <v>1.05</v>
      </c>
      <c r="K23">
        <v>90</v>
      </c>
      <c r="N23">
        <v>112.4508</v>
      </c>
      <c r="O23" t="s">
        <v>266</v>
      </c>
      <c r="P23" t="s">
        <v>266</v>
      </c>
      <c r="R23">
        <v>1.16666666666667E-2</v>
      </c>
      <c r="S23" t="s">
        <v>266</v>
      </c>
      <c r="T23" t="s">
        <v>266</v>
      </c>
      <c r="V23" t="s">
        <v>264</v>
      </c>
    </row>
    <row r="24" spans="1:24">
      <c r="A24" t="s">
        <v>68</v>
      </c>
      <c r="B24" t="s">
        <v>264</v>
      </c>
      <c r="C24" t="s">
        <v>178</v>
      </c>
      <c r="D24" t="s">
        <v>265</v>
      </c>
      <c r="E24">
        <v>1.929022</v>
      </c>
      <c r="H24">
        <v>0.52</v>
      </c>
      <c r="K24">
        <v>88</v>
      </c>
      <c r="N24">
        <v>326.44987692307598</v>
      </c>
      <c r="O24" t="s">
        <v>266</v>
      </c>
      <c r="P24" t="s">
        <v>266</v>
      </c>
      <c r="R24" s="36">
        <v>5.9090909090909003E-3</v>
      </c>
      <c r="S24" t="s">
        <v>266</v>
      </c>
      <c r="T24" t="s">
        <v>266</v>
      </c>
      <c r="V24" t="s">
        <v>264</v>
      </c>
    </row>
    <row r="25" spans="1:24">
      <c r="A25" t="s">
        <v>83</v>
      </c>
      <c r="B25" t="s">
        <v>264</v>
      </c>
      <c r="C25" t="s">
        <v>178</v>
      </c>
      <c r="D25" t="s">
        <v>265</v>
      </c>
      <c r="E25">
        <v>5.6689369999999899</v>
      </c>
      <c r="H25">
        <v>2.1</v>
      </c>
      <c r="K25">
        <v>67</v>
      </c>
      <c r="N25">
        <v>180.866085238095</v>
      </c>
      <c r="O25" t="s">
        <v>266</v>
      </c>
      <c r="P25" t="s">
        <v>266</v>
      </c>
      <c r="R25">
        <v>3.1343283582089598E-2</v>
      </c>
      <c r="S25" t="s">
        <v>266</v>
      </c>
      <c r="T25" t="s">
        <v>266</v>
      </c>
      <c r="V25" t="s">
        <v>264</v>
      </c>
    </row>
    <row r="26" spans="1:24">
      <c r="A26" t="s">
        <v>277</v>
      </c>
      <c r="B26" t="s">
        <v>264</v>
      </c>
      <c r="C26" t="s">
        <v>178</v>
      </c>
      <c r="D26" t="s">
        <v>265</v>
      </c>
      <c r="E26">
        <v>3.5842040000000002</v>
      </c>
      <c r="H26">
        <v>1.05</v>
      </c>
      <c r="K26">
        <v>45</v>
      </c>
      <c r="N26">
        <v>153.608742857142</v>
      </c>
      <c r="O26" t="s">
        <v>266</v>
      </c>
      <c r="P26" t="s">
        <v>266</v>
      </c>
      <c r="R26">
        <v>2.33333333333333E-2</v>
      </c>
      <c r="S26" t="s">
        <v>266</v>
      </c>
      <c r="T26" t="s">
        <v>266</v>
      </c>
      <c r="V26" t="s">
        <v>264</v>
      </c>
    </row>
    <row r="27" spans="1:24">
      <c r="A27" t="s">
        <v>74</v>
      </c>
      <c r="B27" t="s">
        <v>144</v>
      </c>
      <c r="C27" t="s">
        <v>179</v>
      </c>
      <c r="D27" t="s">
        <v>265</v>
      </c>
      <c r="G27">
        <v>20.89</v>
      </c>
      <c r="J27">
        <v>10</v>
      </c>
      <c r="K27">
        <v>70</v>
      </c>
      <c r="N27" t="s">
        <v>266</v>
      </c>
      <c r="O27" t="s">
        <v>266</v>
      </c>
      <c r="P27">
        <v>146.22999999999999</v>
      </c>
      <c r="R27" t="s">
        <v>266</v>
      </c>
      <c r="S27" t="s">
        <v>266</v>
      </c>
      <c r="T27">
        <v>0.14285714285714199</v>
      </c>
      <c r="V27" t="s">
        <v>264</v>
      </c>
    </row>
    <row r="28" spans="1:24">
      <c r="A28" t="s">
        <v>278</v>
      </c>
      <c r="B28" t="s">
        <v>264</v>
      </c>
      <c r="C28" t="s">
        <v>178</v>
      </c>
      <c r="D28" t="s">
        <v>265</v>
      </c>
      <c r="E28">
        <v>2.0232389999999998</v>
      </c>
      <c r="H28">
        <v>2.1</v>
      </c>
      <c r="K28">
        <v>96</v>
      </c>
      <c r="N28">
        <v>92.490925714285595</v>
      </c>
      <c r="O28" t="s">
        <v>266</v>
      </c>
      <c r="P28" t="s">
        <v>266</v>
      </c>
      <c r="R28">
        <v>2.1874999999999999E-2</v>
      </c>
      <c r="S28" t="s">
        <v>266</v>
      </c>
      <c r="T28" t="s">
        <v>266</v>
      </c>
      <c r="V28" t="s">
        <v>264</v>
      </c>
    </row>
    <row r="29" spans="1:24">
      <c r="A29" t="s">
        <v>52</v>
      </c>
      <c r="B29" t="s">
        <v>144</v>
      </c>
      <c r="C29" t="s">
        <v>178</v>
      </c>
      <c r="D29" t="s">
        <v>265</v>
      </c>
      <c r="E29">
        <v>2.02</v>
      </c>
      <c r="H29">
        <v>1.05</v>
      </c>
      <c r="K29">
        <v>76</v>
      </c>
      <c r="N29">
        <v>146.20952380952301</v>
      </c>
      <c r="O29" t="s">
        <v>266</v>
      </c>
      <c r="P29" t="s">
        <v>266</v>
      </c>
      <c r="R29">
        <v>1.38157894736842E-2</v>
      </c>
      <c r="S29" t="s">
        <v>266</v>
      </c>
      <c r="T29" t="s">
        <v>266</v>
      </c>
      <c r="V29" t="s">
        <v>264</v>
      </c>
    </row>
    <row r="30" spans="1:24">
      <c r="A30" t="s">
        <v>95</v>
      </c>
      <c r="B30" t="s">
        <v>144</v>
      </c>
      <c r="C30" t="s">
        <v>179</v>
      </c>
      <c r="D30" t="s">
        <v>265</v>
      </c>
      <c r="G30">
        <v>9.6300000000000008</v>
      </c>
      <c r="J30">
        <v>4</v>
      </c>
      <c r="K30">
        <v>64</v>
      </c>
      <c r="N30" t="s">
        <v>266</v>
      </c>
      <c r="O30" t="s">
        <v>266</v>
      </c>
      <c r="P30">
        <v>154.08000000000001</v>
      </c>
      <c r="R30" t="s">
        <v>266</v>
      </c>
      <c r="S30" t="s">
        <v>266</v>
      </c>
      <c r="T30">
        <v>6.25E-2</v>
      </c>
      <c r="V30" t="s">
        <v>264</v>
      </c>
    </row>
    <row r="31" spans="1:24">
      <c r="A31" t="s">
        <v>116</v>
      </c>
      <c r="B31" t="s">
        <v>144</v>
      </c>
      <c r="C31" t="s">
        <v>179</v>
      </c>
      <c r="D31" t="s">
        <v>265</v>
      </c>
      <c r="G31">
        <v>4.33</v>
      </c>
      <c r="J31">
        <v>2</v>
      </c>
      <c r="K31">
        <v>69</v>
      </c>
      <c r="N31" t="s">
        <v>266</v>
      </c>
      <c r="O31" t="s">
        <v>266</v>
      </c>
      <c r="P31">
        <v>149.38499999999999</v>
      </c>
      <c r="R31" t="s">
        <v>266</v>
      </c>
      <c r="S31" t="s">
        <v>266</v>
      </c>
      <c r="T31">
        <v>2.8985507246376802E-2</v>
      </c>
      <c r="V31" t="s">
        <v>264</v>
      </c>
    </row>
    <row r="32" spans="1:24">
      <c r="A32" t="s">
        <v>51</v>
      </c>
      <c r="B32" t="s">
        <v>144</v>
      </c>
      <c r="C32" t="s">
        <v>180</v>
      </c>
      <c r="F32">
        <v>0.04</v>
      </c>
      <c r="I32">
        <v>6</v>
      </c>
      <c r="K32">
        <v>80</v>
      </c>
      <c r="N32" t="s">
        <v>266</v>
      </c>
      <c r="O32">
        <v>0.53333333333333299</v>
      </c>
      <c r="P32" t="s">
        <v>266</v>
      </c>
      <c r="R32" t="s">
        <v>266</v>
      </c>
      <c r="S32">
        <v>7.4999999999999997E-2</v>
      </c>
      <c r="T32" t="s">
        <v>266</v>
      </c>
      <c r="V32" t="s">
        <v>264</v>
      </c>
    </row>
    <row r="33" spans="1:22">
      <c r="A33" t="s">
        <v>50</v>
      </c>
      <c r="B33" t="s">
        <v>144</v>
      </c>
      <c r="C33" t="s">
        <v>178</v>
      </c>
      <c r="D33" t="s">
        <v>265</v>
      </c>
      <c r="E33">
        <v>0.77</v>
      </c>
      <c r="H33">
        <v>0.52</v>
      </c>
      <c r="K33">
        <v>73</v>
      </c>
      <c r="N33">
        <v>108.096153846153</v>
      </c>
      <c r="O33" t="s">
        <v>266</v>
      </c>
      <c r="P33" t="s">
        <v>266</v>
      </c>
      <c r="R33" s="36">
        <v>7.1232876712328703E-3</v>
      </c>
      <c r="S33" t="s">
        <v>266</v>
      </c>
      <c r="T33" t="s">
        <v>266</v>
      </c>
      <c r="V33" t="s">
        <v>264</v>
      </c>
    </row>
    <row r="34" spans="1:22">
      <c r="A34" t="s">
        <v>97</v>
      </c>
      <c r="B34" t="s">
        <v>144</v>
      </c>
      <c r="C34" t="s">
        <v>178</v>
      </c>
      <c r="D34" t="s">
        <v>279</v>
      </c>
      <c r="E34">
        <v>2.2999999999999998</v>
      </c>
      <c r="H34">
        <v>1.06</v>
      </c>
      <c r="K34">
        <v>60</v>
      </c>
      <c r="N34">
        <v>130.188679245283</v>
      </c>
      <c r="O34" t="s">
        <v>266</v>
      </c>
      <c r="P34" t="s">
        <v>266</v>
      </c>
      <c r="R34">
        <v>1.7666666666666699E-2</v>
      </c>
      <c r="S34" t="s">
        <v>266</v>
      </c>
      <c r="T34" t="s">
        <v>266</v>
      </c>
      <c r="V34" t="s">
        <v>264</v>
      </c>
    </row>
    <row r="35" spans="1:22">
      <c r="A35" t="s">
        <v>49</v>
      </c>
      <c r="B35" t="s">
        <v>144</v>
      </c>
      <c r="C35" t="s">
        <v>178</v>
      </c>
      <c r="D35" t="s">
        <v>265</v>
      </c>
      <c r="E35">
        <v>1.06</v>
      </c>
      <c r="H35">
        <v>0.52</v>
      </c>
      <c r="K35">
        <v>52</v>
      </c>
      <c r="N35">
        <v>106</v>
      </c>
      <c r="O35" t="s">
        <v>266</v>
      </c>
      <c r="P35" t="s">
        <v>266</v>
      </c>
      <c r="R35">
        <v>0.01</v>
      </c>
      <c r="S35" t="s">
        <v>266</v>
      </c>
      <c r="T35" t="s">
        <v>266</v>
      </c>
      <c r="V35" t="s">
        <v>264</v>
      </c>
    </row>
    <row r="36" spans="1:22">
      <c r="A36" t="s">
        <v>86</v>
      </c>
      <c r="B36" t="s">
        <v>264</v>
      </c>
      <c r="C36" t="s">
        <v>180</v>
      </c>
      <c r="D36" t="s">
        <v>265</v>
      </c>
      <c r="F36">
        <v>0.109</v>
      </c>
      <c r="I36">
        <v>8</v>
      </c>
      <c r="K36">
        <v>78</v>
      </c>
      <c r="N36" t="s">
        <v>266</v>
      </c>
      <c r="O36">
        <v>1.0627500000000001</v>
      </c>
      <c r="P36" t="s">
        <v>266</v>
      </c>
      <c r="R36" t="s">
        <v>266</v>
      </c>
      <c r="S36">
        <v>0.10256410256410201</v>
      </c>
      <c r="T36" t="s">
        <v>266</v>
      </c>
      <c r="V36" t="s">
        <v>264</v>
      </c>
    </row>
    <row r="37" spans="1:22">
      <c r="A37" t="s">
        <v>86</v>
      </c>
      <c r="B37" t="s">
        <v>264</v>
      </c>
      <c r="C37" t="s">
        <v>179</v>
      </c>
      <c r="D37" t="s">
        <v>265</v>
      </c>
      <c r="G37">
        <v>16.14</v>
      </c>
      <c r="J37">
        <v>8</v>
      </c>
      <c r="K37">
        <v>78</v>
      </c>
      <c r="N37" t="s">
        <v>266</v>
      </c>
      <c r="O37" t="s">
        <v>266</v>
      </c>
      <c r="P37">
        <v>157.36500000000001</v>
      </c>
      <c r="R37" t="s">
        <v>266</v>
      </c>
      <c r="S37" t="s">
        <v>266</v>
      </c>
      <c r="T37">
        <v>0.10256410256410201</v>
      </c>
      <c r="V37" t="s">
        <v>264</v>
      </c>
    </row>
    <row r="38" spans="1:22">
      <c r="A38" t="s">
        <v>48</v>
      </c>
      <c r="B38" t="s">
        <v>144</v>
      </c>
      <c r="C38" t="s">
        <v>178</v>
      </c>
      <c r="D38" t="s">
        <v>265</v>
      </c>
      <c r="E38">
        <v>0.85906700000000003</v>
      </c>
      <c r="H38">
        <v>0.52</v>
      </c>
      <c r="K38">
        <v>67</v>
      </c>
      <c r="N38">
        <v>110.687478846153</v>
      </c>
      <c r="O38" t="s">
        <v>266</v>
      </c>
      <c r="P38" t="s">
        <v>266</v>
      </c>
      <c r="R38" s="36">
        <v>7.7611940298507398E-3</v>
      </c>
      <c r="S38" t="s">
        <v>266</v>
      </c>
      <c r="T38" t="s">
        <v>266</v>
      </c>
      <c r="V38" t="s">
        <v>264</v>
      </c>
    </row>
    <row r="39" spans="1:22">
      <c r="A39" t="s">
        <v>46</v>
      </c>
      <c r="B39" t="s">
        <v>144</v>
      </c>
      <c r="C39" t="s">
        <v>178</v>
      </c>
      <c r="D39" t="s">
        <v>265</v>
      </c>
      <c r="E39">
        <v>4.6623060000000001</v>
      </c>
      <c r="H39">
        <v>2.1</v>
      </c>
      <c r="K39">
        <v>75</v>
      </c>
      <c r="N39">
        <v>166.510928571428</v>
      </c>
      <c r="O39" t="s">
        <v>266</v>
      </c>
      <c r="P39" t="s">
        <v>266</v>
      </c>
      <c r="R39">
        <v>2.8000000000000001E-2</v>
      </c>
      <c r="S39" t="s">
        <v>266</v>
      </c>
      <c r="T39" t="s">
        <v>266</v>
      </c>
      <c r="V39" t="s">
        <v>264</v>
      </c>
    </row>
    <row r="40" spans="1:22">
      <c r="A40" t="s">
        <v>280</v>
      </c>
      <c r="B40" t="s">
        <v>264</v>
      </c>
      <c r="C40" t="s">
        <v>178</v>
      </c>
      <c r="D40" t="s">
        <v>265</v>
      </c>
      <c r="E40">
        <v>2.9714100000000001</v>
      </c>
      <c r="H40">
        <v>1.05</v>
      </c>
      <c r="K40">
        <v>68</v>
      </c>
      <c r="N40">
        <v>192.43417142857101</v>
      </c>
      <c r="O40" t="s">
        <v>266</v>
      </c>
      <c r="P40" t="s">
        <v>266</v>
      </c>
      <c r="R40">
        <v>1.54411764705882E-2</v>
      </c>
      <c r="S40" t="s">
        <v>266</v>
      </c>
      <c r="T40" t="s">
        <v>266</v>
      </c>
      <c r="V40" t="s">
        <v>264</v>
      </c>
    </row>
    <row r="41" spans="1:22">
      <c r="A41" t="s">
        <v>45</v>
      </c>
      <c r="B41" t="s">
        <v>144</v>
      </c>
      <c r="C41" t="s">
        <v>178</v>
      </c>
      <c r="D41" t="s">
        <v>265</v>
      </c>
      <c r="E41">
        <v>1.138538</v>
      </c>
      <c r="H41">
        <v>0.52</v>
      </c>
      <c r="K41">
        <v>88</v>
      </c>
      <c r="N41">
        <v>192.67566153846099</v>
      </c>
      <c r="O41" t="s">
        <v>266</v>
      </c>
      <c r="P41" t="s">
        <v>266</v>
      </c>
      <c r="R41" s="36">
        <v>5.9090909090909003E-3</v>
      </c>
      <c r="S41" t="s">
        <v>266</v>
      </c>
      <c r="T41" t="s">
        <v>266</v>
      </c>
      <c r="V41" t="s">
        <v>264</v>
      </c>
    </row>
    <row r="42" spans="1:22">
      <c r="A42" t="s">
        <v>43</v>
      </c>
      <c r="B42" t="s">
        <v>144</v>
      </c>
      <c r="C42" t="s">
        <v>179</v>
      </c>
      <c r="G42">
        <v>26.34</v>
      </c>
      <c r="J42">
        <v>8</v>
      </c>
      <c r="K42">
        <v>73</v>
      </c>
      <c r="N42" t="s">
        <v>266</v>
      </c>
      <c r="O42" t="s">
        <v>266</v>
      </c>
      <c r="P42">
        <v>240.35249999999999</v>
      </c>
      <c r="R42" t="s">
        <v>266</v>
      </c>
      <c r="S42" t="s">
        <v>266</v>
      </c>
      <c r="T42">
        <v>0.10958904109589</v>
      </c>
      <c r="V42" t="s">
        <v>264</v>
      </c>
    </row>
    <row r="43" spans="1:22">
      <c r="A43" t="s">
        <v>152</v>
      </c>
      <c r="B43" t="s">
        <v>264</v>
      </c>
      <c r="C43" t="s">
        <v>178</v>
      </c>
      <c r="D43" t="s">
        <v>265</v>
      </c>
      <c r="E43">
        <v>6.3167590000000002</v>
      </c>
      <c r="H43">
        <v>2.1</v>
      </c>
      <c r="K43">
        <v>90</v>
      </c>
      <c r="N43">
        <v>270.718242857142</v>
      </c>
      <c r="O43" t="s">
        <v>266</v>
      </c>
      <c r="P43" t="s">
        <v>266</v>
      </c>
      <c r="R43">
        <v>2.33333333333333E-2</v>
      </c>
      <c r="S43" t="s">
        <v>266</v>
      </c>
      <c r="T43" t="s">
        <v>266</v>
      </c>
      <c r="V43" t="s">
        <v>264</v>
      </c>
    </row>
    <row r="44" spans="1:22">
      <c r="A44" t="s">
        <v>96</v>
      </c>
      <c r="B44" t="s">
        <v>144</v>
      </c>
      <c r="C44" t="s">
        <v>179</v>
      </c>
      <c r="G44">
        <v>8.6999999999999904</v>
      </c>
      <c r="J44">
        <v>4</v>
      </c>
      <c r="K44">
        <v>80</v>
      </c>
      <c r="N44" t="s">
        <v>266</v>
      </c>
      <c r="O44" t="s">
        <v>266</v>
      </c>
      <c r="P44">
        <v>174</v>
      </c>
      <c r="R44" t="s">
        <v>266</v>
      </c>
      <c r="S44" t="s">
        <v>266</v>
      </c>
      <c r="T44">
        <v>0.05</v>
      </c>
      <c r="V44" t="s">
        <v>264</v>
      </c>
    </row>
    <row r="45" spans="1:22">
      <c r="A45" t="s">
        <v>64</v>
      </c>
      <c r="B45" t="s">
        <v>264</v>
      </c>
      <c r="C45" t="s">
        <v>179</v>
      </c>
      <c r="D45" t="s">
        <v>265</v>
      </c>
      <c r="G45">
        <v>2.5499999999999998</v>
      </c>
      <c r="J45">
        <v>6</v>
      </c>
      <c r="K45">
        <v>65</v>
      </c>
      <c r="N45" t="s">
        <v>266</v>
      </c>
      <c r="O45" t="s">
        <v>266</v>
      </c>
      <c r="P45">
        <v>27.624999999999901</v>
      </c>
      <c r="R45" t="s">
        <v>266</v>
      </c>
      <c r="S45" t="s">
        <v>266</v>
      </c>
      <c r="T45">
        <v>9.2307692307692299E-2</v>
      </c>
      <c r="V45" t="s">
        <v>264</v>
      </c>
    </row>
    <row r="46" spans="1:22">
      <c r="A46" t="s">
        <v>62</v>
      </c>
      <c r="B46" t="s">
        <v>264</v>
      </c>
      <c r="C46" t="s">
        <v>179</v>
      </c>
      <c r="D46" t="s">
        <v>265</v>
      </c>
      <c r="G46">
        <v>11.12</v>
      </c>
      <c r="J46">
        <v>4</v>
      </c>
      <c r="K46">
        <v>80</v>
      </c>
      <c r="N46" t="s">
        <v>266</v>
      </c>
      <c r="O46" t="s">
        <v>266</v>
      </c>
      <c r="P46">
        <v>222.4</v>
      </c>
      <c r="R46" t="s">
        <v>266</v>
      </c>
      <c r="S46" t="s">
        <v>266</v>
      </c>
      <c r="T46">
        <v>0.05</v>
      </c>
      <c r="V46" t="s">
        <v>264</v>
      </c>
    </row>
    <row r="47" spans="1:22">
      <c r="A47" t="s">
        <v>281</v>
      </c>
      <c r="B47" t="s">
        <v>144</v>
      </c>
      <c r="C47" t="s">
        <v>178</v>
      </c>
      <c r="D47" t="s">
        <v>265</v>
      </c>
      <c r="E47">
        <v>6.5905240000000003</v>
      </c>
      <c r="H47">
        <v>2.1</v>
      </c>
      <c r="K47">
        <v>70</v>
      </c>
      <c r="N47">
        <v>219.68413333333299</v>
      </c>
      <c r="O47" t="s">
        <v>266</v>
      </c>
      <c r="P47" t="s">
        <v>266</v>
      </c>
      <c r="R47">
        <v>0.03</v>
      </c>
      <c r="S47" t="s">
        <v>266</v>
      </c>
      <c r="T47" t="s">
        <v>266</v>
      </c>
      <c r="V47" t="s">
        <v>264</v>
      </c>
    </row>
    <row r="48" spans="1:22">
      <c r="A48" t="s">
        <v>114</v>
      </c>
      <c r="B48" t="s">
        <v>144</v>
      </c>
      <c r="C48" t="s">
        <v>178</v>
      </c>
      <c r="D48" t="s">
        <v>268</v>
      </c>
      <c r="E48">
        <v>0.85067400000000004</v>
      </c>
      <c r="H48">
        <v>0.54</v>
      </c>
      <c r="K48">
        <v>48</v>
      </c>
      <c r="N48">
        <v>75.615466666666606</v>
      </c>
      <c r="O48" t="s">
        <v>266</v>
      </c>
      <c r="P48" t="s">
        <v>266</v>
      </c>
      <c r="R48">
        <v>1.125E-2</v>
      </c>
      <c r="S48" t="s">
        <v>266</v>
      </c>
      <c r="T48" t="s">
        <v>266</v>
      </c>
      <c r="V48" t="s">
        <v>144</v>
      </c>
    </row>
    <row r="49" spans="1:22">
      <c r="A49" t="s">
        <v>282</v>
      </c>
      <c r="B49" t="s">
        <v>264</v>
      </c>
      <c r="C49" t="s">
        <v>178</v>
      </c>
      <c r="D49" t="s">
        <v>265</v>
      </c>
      <c r="E49">
        <v>2.938923</v>
      </c>
      <c r="H49">
        <v>2.1</v>
      </c>
      <c r="K49">
        <v>60</v>
      </c>
      <c r="N49">
        <v>83.969228571428502</v>
      </c>
      <c r="O49" t="s">
        <v>266</v>
      </c>
      <c r="P49" t="s">
        <v>266</v>
      </c>
      <c r="R49">
        <v>3.5000000000000003E-2</v>
      </c>
      <c r="S49" t="s">
        <v>266</v>
      </c>
      <c r="T49" t="s">
        <v>266</v>
      </c>
      <c r="V49" t="s">
        <v>144</v>
      </c>
    </row>
    <row r="50" spans="1:22">
      <c r="A50" t="s">
        <v>283</v>
      </c>
      <c r="B50" t="s">
        <v>264</v>
      </c>
      <c r="C50" t="s">
        <v>178</v>
      </c>
      <c r="D50" t="s">
        <v>268</v>
      </c>
      <c r="E50">
        <v>4.7457539999999998</v>
      </c>
      <c r="H50">
        <v>1.31</v>
      </c>
      <c r="K50">
        <v>100</v>
      </c>
      <c r="N50">
        <v>362.27129770992298</v>
      </c>
      <c r="O50" t="s">
        <v>266</v>
      </c>
      <c r="P50" t="s">
        <v>266</v>
      </c>
      <c r="R50">
        <v>1.3100000000000001E-2</v>
      </c>
      <c r="S50" t="s">
        <v>266</v>
      </c>
      <c r="T50" t="s">
        <v>266</v>
      </c>
      <c r="V50" t="s">
        <v>144</v>
      </c>
    </row>
    <row r="51" spans="1:22">
      <c r="A51" t="s">
        <v>40</v>
      </c>
      <c r="B51" t="s">
        <v>144</v>
      </c>
      <c r="C51" t="s">
        <v>178</v>
      </c>
      <c r="D51" t="s">
        <v>265</v>
      </c>
      <c r="E51">
        <v>3.5808439999999999</v>
      </c>
      <c r="H51">
        <v>1.05</v>
      </c>
      <c r="K51">
        <v>85</v>
      </c>
      <c r="N51">
        <v>289.87784761904697</v>
      </c>
      <c r="O51" t="s">
        <v>266</v>
      </c>
      <c r="P51" t="s">
        <v>266</v>
      </c>
      <c r="R51">
        <v>1.23529411764706E-2</v>
      </c>
      <c r="S51" t="s">
        <v>266</v>
      </c>
      <c r="T51" t="s">
        <v>266</v>
      </c>
      <c r="V51" t="s">
        <v>144</v>
      </c>
    </row>
    <row r="52" spans="1:22">
      <c r="A52" t="s">
        <v>38</v>
      </c>
      <c r="B52" t="s">
        <v>264</v>
      </c>
      <c r="C52" t="s">
        <v>178</v>
      </c>
      <c r="D52" t="s">
        <v>268</v>
      </c>
      <c r="E52">
        <v>1.532764</v>
      </c>
      <c r="H52">
        <v>0.54</v>
      </c>
      <c r="K52">
        <v>95</v>
      </c>
      <c r="N52">
        <v>269.65292592592499</v>
      </c>
      <c r="O52" t="s">
        <v>266</v>
      </c>
      <c r="P52" t="s">
        <v>266</v>
      </c>
      <c r="R52" s="36">
        <v>5.6842105263157899E-3</v>
      </c>
      <c r="S52" t="s">
        <v>266</v>
      </c>
      <c r="T52" t="s">
        <v>266</v>
      </c>
      <c r="V52" t="s">
        <v>144</v>
      </c>
    </row>
    <row r="53" spans="1:22">
      <c r="A53" t="s">
        <v>37</v>
      </c>
      <c r="B53" t="s">
        <v>144</v>
      </c>
      <c r="C53" t="s">
        <v>178</v>
      </c>
      <c r="D53" t="s">
        <v>265</v>
      </c>
      <c r="E53">
        <v>2.8743569999999998</v>
      </c>
      <c r="H53">
        <v>1.05</v>
      </c>
      <c r="K53">
        <v>75</v>
      </c>
      <c r="N53">
        <v>205.31121428571399</v>
      </c>
      <c r="O53" t="s">
        <v>266</v>
      </c>
      <c r="P53" t="s">
        <v>266</v>
      </c>
      <c r="R53">
        <v>1.4E-2</v>
      </c>
      <c r="S53" t="s">
        <v>266</v>
      </c>
      <c r="T53" t="s">
        <v>266</v>
      </c>
      <c r="V53" t="s">
        <v>144</v>
      </c>
    </row>
    <row r="54" spans="1:22">
      <c r="A54" t="s">
        <v>93</v>
      </c>
      <c r="B54" t="s">
        <v>144</v>
      </c>
      <c r="C54" t="s">
        <v>178</v>
      </c>
      <c r="D54" t="s">
        <v>265</v>
      </c>
      <c r="E54">
        <v>1.6033569999999999</v>
      </c>
      <c r="H54">
        <v>0.52</v>
      </c>
      <c r="K54">
        <v>67</v>
      </c>
      <c r="N54">
        <v>206.58638269230701</v>
      </c>
      <c r="O54" t="s">
        <v>266</v>
      </c>
      <c r="P54" t="s">
        <v>266</v>
      </c>
      <c r="R54" s="36">
        <v>7.7611940298507398E-3</v>
      </c>
      <c r="S54" t="s">
        <v>266</v>
      </c>
      <c r="T54" t="s">
        <v>266</v>
      </c>
      <c r="V54" t="s">
        <v>144</v>
      </c>
    </row>
    <row r="55" spans="1:22">
      <c r="A55" t="s">
        <v>73</v>
      </c>
      <c r="B55" t="s">
        <v>144</v>
      </c>
      <c r="C55" t="s">
        <v>179</v>
      </c>
      <c r="D55" t="s">
        <v>265</v>
      </c>
      <c r="G55">
        <v>1.56</v>
      </c>
      <c r="J55">
        <v>2</v>
      </c>
      <c r="K55">
        <v>72</v>
      </c>
      <c r="N55" t="s">
        <v>266</v>
      </c>
      <c r="O55" t="s">
        <v>266</v>
      </c>
      <c r="P55">
        <v>56.16</v>
      </c>
      <c r="R55" t="s">
        <v>266</v>
      </c>
      <c r="S55" t="s">
        <v>266</v>
      </c>
      <c r="T55">
        <v>2.7777777777777801E-2</v>
      </c>
      <c r="V55" t="s">
        <v>144</v>
      </c>
    </row>
    <row r="56" spans="1:22">
      <c r="A56" t="s">
        <v>72</v>
      </c>
      <c r="B56" t="s">
        <v>264</v>
      </c>
      <c r="C56" t="s">
        <v>178</v>
      </c>
      <c r="D56" t="s">
        <v>268</v>
      </c>
      <c r="E56">
        <v>2.5372439999999998</v>
      </c>
      <c r="H56">
        <v>1.4</v>
      </c>
      <c r="K56">
        <v>69</v>
      </c>
      <c r="N56">
        <v>125.04988285714199</v>
      </c>
      <c r="O56" t="s">
        <v>266</v>
      </c>
      <c r="P56" t="s">
        <v>266</v>
      </c>
      <c r="R56">
        <v>2.0289855072463801E-2</v>
      </c>
      <c r="S56" t="s">
        <v>266</v>
      </c>
      <c r="T56" t="s">
        <v>266</v>
      </c>
      <c r="V56" t="s">
        <v>144</v>
      </c>
    </row>
    <row r="57" spans="1:22">
      <c r="A57" t="s">
        <v>75</v>
      </c>
      <c r="B57" t="s">
        <v>264</v>
      </c>
      <c r="C57" t="s">
        <v>180</v>
      </c>
      <c r="F57">
        <v>0.25</v>
      </c>
      <c r="I57">
        <v>4</v>
      </c>
      <c r="K57">
        <v>75</v>
      </c>
      <c r="N57" t="s">
        <v>266</v>
      </c>
      <c r="O57">
        <v>4.6875</v>
      </c>
      <c r="P57" t="s">
        <v>266</v>
      </c>
      <c r="R57" t="s">
        <v>266</v>
      </c>
      <c r="S57">
        <v>5.3333333333333399E-2</v>
      </c>
      <c r="T57" t="s">
        <v>266</v>
      </c>
      <c r="V57" t="s">
        <v>144</v>
      </c>
    </row>
    <row r="58" spans="1:22">
      <c r="A58" t="s">
        <v>76</v>
      </c>
      <c r="B58" t="s">
        <v>264</v>
      </c>
      <c r="C58" t="s">
        <v>180</v>
      </c>
      <c r="F58">
        <v>0.71</v>
      </c>
      <c r="I58">
        <v>8</v>
      </c>
      <c r="K58">
        <v>70</v>
      </c>
      <c r="N58" t="s">
        <v>266</v>
      </c>
      <c r="O58">
        <v>6.2125000000000004</v>
      </c>
      <c r="P58" t="s">
        <v>266</v>
      </c>
      <c r="R58" t="s">
        <v>266</v>
      </c>
      <c r="S58">
        <v>0.114285714285714</v>
      </c>
      <c r="T58" t="s">
        <v>266</v>
      </c>
      <c r="V58" t="s">
        <v>144</v>
      </c>
    </row>
    <row r="59" spans="1:22">
      <c r="A59" t="s">
        <v>284</v>
      </c>
      <c r="B59" t="s">
        <v>264</v>
      </c>
      <c r="C59" t="s">
        <v>178</v>
      </c>
      <c r="D59" t="s">
        <v>265</v>
      </c>
      <c r="E59">
        <v>0.76527000000000001</v>
      </c>
      <c r="H59">
        <v>0.26</v>
      </c>
      <c r="K59">
        <v>55</v>
      </c>
      <c r="N59">
        <v>161.88403846153801</v>
      </c>
      <c r="O59" t="s">
        <v>266</v>
      </c>
      <c r="P59" t="s">
        <v>266</v>
      </c>
      <c r="R59" s="36">
        <v>4.7272727272727197E-3</v>
      </c>
      <c r="S59" t="s">
        <v>266</v>
      </c>
      <c r="T59" t="s">
        <v>266</v>
      </c>
      <c r="V59" t="s">
        <v>144</v>
      </c>
    </row>
    <row r="60" spans="1:22">
      <c r="A60" t="s">
        <v>285</v>
      </c>
      <c r="B60" t="s">
        <v>264</v>
      </c>
      <c r="C60" t="s">
        <v>178</v>
      </c>
      <c r="D60" t="s">
        <v>268</v>
      </c>
      <c r="E60">
        <v>1.7861210000000001</v>
      </c>
      <c r="H60">
        <v>0.54</v>
      </c>
      <c r="K60">
        <v>59</v>
      </c>
      <c r="N60">
        <v>195.150257407407</v>
      </c>
      <c r="O60" t="s">
        <v>266</v>
      </c>
      <c r="P60" t="s">
        <v>266</v>
      </c>
      <c r="R60" s="36">
        <v>9.1525423728813504E-3</v>
      </c>
      <c r="S60" t="s">
        <v>266</v>
      </c>
      <c r="T60" t="s">
        <v>266</v>
      </c>
      <c r="V60" t="s">
        <v>144</v>
      </c>
    </row>
    <row r="61" spans="1:22">
      <c r="A61" t="s">
        <v>286</v>
      </c>
      <c r="B61" t="s">
        <v>264</v>
      </c>
      <c r="C61" t="s">
        <v>178</v>
      </c>
      <c r="D61" t="s">
        <v>265</v>
      </c>
      <c r="E61">
        <v>0.12637499999999999</v>
      </c>
      <c r="H61">
        <v>0.26</v>
      </c>
      <c r="K61">
        <v>80</v>
      </c>
      <c r="N61">
        <v>38.884615384615302</v>
      </c>
      <c r="O61" t="s">
        <v>266</v>
      </c>
      <c r="P61" t="s">
        <v>266</v>
      </c>
      <c r="R61" s="36">
        <v>3.2499999999999999E-3</v>
      </c>
      <c r="S61" t="s">
        <v>266</v>
      </c>
      <c r="T61" t="s">
        <v>266</v>
      </c>
      <c r="V61" t="s">
        <v>144</v>
      </c>
    </row>
    <row r="62" spans="1:22">
      <c r="A62" t="s">
        <v>287</v>
      </c>
      <c r="B62" t="s">
        <v>264</v>
      </c>
      <c r="C62" t="s">
        <v>178</v>
      </c>
      <c r="D62" t="s">
        <v>265</v>
      </c>
      <c r="E62">
        <v>2.8808349999999998</v>
      </c>
      <c r="H62">
        <v>0.52</v>
      </c>
      <c r="K62">
        <v>68</v>
      </c>
      <c r="N62">
        <v>376.72457692307597</v>
      </c>
      <c r="O62" t="s">
        <v>266</v>
      </c>
      <c r="P62" t="s">
        <v>266</v>
      </c>
      <c r="R62" s="36">
        <v>7.6470588235294096E-3</v>
      </c>
      <c r="S62" t="s">
        <v>266</v>
      </c>
      <c r="T62" t="s">
        <v>266</v>
      </c>
      <c r="V62" t="s">
        <v>144</v>
      </c>
    </row>
    <row r="63" spans="1:22">
      <c r="A63" t="s">
        <v>92</v>
      </c>
      <c r="B63" t="s">
        <v>264</v>
      </c>
      <c r="C63" t="s">
        <v>178</v>
      </c>
      <c r="D63" t="s">
        <v>265</v>
      </c>
      <c r="E63">
        <v>7.64</v>
      </c>
      <c r="H63">
        <v>2.1</v>
      </c>
      <c r="K63">
        <v>75</v>
      </c>
      <c r="N63">
        <v>272.85714285714198</v>
      </c>
      <c r="O63" t="s">
        <v>266</v>
      </c>
      <c r="P63" t="s">
        <v>266</v>
      </c>
      <c r="R63">
        <v>2.8000000000000001E-2</v>
      </c>
      <c r="S63" t="s">
        <v>266</v>
      </c>
      <c r="T63" t="s">
        <v>266</v>
      </c>
      <c r="V63" t="s">
        <v>144</v>
      </c>
    </row>
    <row r="64" spans="1:22">
      <c r="A64" t="s">
        <v>288</v>
      </c>
      <c r="B64" t="s">
        <v>264</v>
      </c>
      <c r="C64" t="s">
        <v>180</v>
      </c>
      <c r="F64">
        <v>0.19</v>
      </c>
      <c r="I64">
        <v>4</v>
      </c>
      <c r="K64">
        <v>72</v>
      </c>
      <c r="N64" t="s">
        <v>266</v>
      </c>
      <c r="O64">
        <v>3.42</v>
      </c>
      <c r="P64" t="s">
        <v>266</v>
      </c>
      <c r="R64" t="s">
        <v>266</v>
      </c>
      <c r="S64">
        <v>5.5555555555555601E-2</v>
      </c>
      <c r="T64" t="s">
        <v>266</v>
      </c>
      <c r="V64" t="s">
        <v>144</v>
      </c>
    </row>
    <row r="65" spans="1:37">
      <c r="A65" t="s">
        <v>289</v>
      </c>
      <c r="B65" t="s">
        <v>264</v>
      </c>
      <c r="C65" t="s">
        <v>179</v>
      </c>
      <c r="D65" t="s">
        <v>265</v>
      </c>
      <c r="G65">
        <v>8.94</v>
      </c>
      <c r="J65">
        <v>8</v>
      </c>
      <c r="K65">
        <v>50</v>
      </c>
      <c r="N65" t="s">
        <v>266</v>
      </c>
      <c r="O65" t="s">
        <v>266</v>
      </c>
      <c r="P65">
        <v>55.874999999999901</v>
      </c>
      <c r="R65" t="s">
        <v>266</v>
      </c>
      <c r="S65" t="s">
        <v>266</v>
      </c>
      <c r="T65">
        <v>0.16</v>
      </c>
      <c r="V65" t="s">
        <v>144</v>
      </c>
    </row>
    <row r="66" spans="1:37">
      <c r="A66" t="s">
        <v>85</v>
      </c>
      <c r="B66" t="s">
        <v>264</v>
      </c>
      <c r="C66" t="s">
        <v>178</v>
      </c>
      <c r="D66" t="s">
        <v>268</v>
      </c>
      <c r="E66">
        <v>0.45465699999999998</v>
      </c>
      <c r="H66">
        <v>0.27</v>
      </c>
      <c r="K66">
        <v>57</v>
      </c>
      <c r="N66">
        <v>95.983144444444406</v>
      </c>
      <c r="O66" t="s">
        <v>266</v>
      </c>
      <c r="P66" t="s">
        <v>266</v>
      </c>
      <c r="R66" s="36">
        <v>4.7368421052631504E-3</v>
      </c>
      <c r="S66" t="s">
        <v>266</v>
      </c>
      <c r="T66" t="s">
        <v>266</v>
      </c>
      <c r="V66" t="s">
        <v>144</v>
      </c>
    </row>
    <row r="67" spans="1:37">
      <c r="A67" t="s">
        <v>85</v>
      </c>
      <c r="B67" t="s">
        <v>264</v>
      </c>
      <c r="C67" t="s">
        <v>179</v>
      </c>
      <c r="D67" t="s">
        <v>268</v>
      </c>
      <c r="G67">
        <v>13.37</v>
      </c>
      <c r="J67">
        <v>6</v>
      </c>
      <c r="K67">
        <v>57</v>
      </c>
      <c r="N67" t="s">
        <v>266</v>
      </c>
      <c r="O67" t="s">
        <v>266</v>
      </c>
      <c r="P67">
        <v>127.015</v>
      </c>
      <c r="R67" t="s">
        <v>266</v>
      </c>
      <c r="S67" t="s">
        <v>266</v>
      </c>
      <c r="T67">
        <v>0.105263157894736</v>
      </c>
      <c r="V67" t="s">
        <v>144</v>
      </c>
    </row>
    <row r="68" spans="1:37">
      <c r="A68" t="s">
        <v>290</v>
      </c>
      <c r="B68" t="s">
        <v>264</v>
      </c>
      <c r="C68" t="s">
        <v>180</v>
      </c>
      <c r="F68">
        <v>0.77</v>
      </c>
      <c r="I68">
        <v>4</v>
      </c>
      <c r="K68">
        <v>78</v>
      </c>
      <c r="N68" t="s">
        <v>266</v>
      </c>
      <c r="O68">
        <v>15.015000000000001</v>
      </c>
      <c r="P68" t="s">
        <v>266</v>
      </c>
      <c r="R68" t="s">
        <v>266</v>
      </c>
      <c r="S68">
        <v>5.1282051282051301E-2</v>
      </c>
      <c r="T68" t="s">
        <v>266</v>
      </c>
      <c r="V68" t="s">
        <v>144</v>
      </c>
    </row>
    <row r="69" spans="1:37">
      <c r="A69" t="s">
        <v>63</v>
      </c>
      <c r="B69" t="s">
        <v>264</v>
      </c>
      <c r="C69" t="s">
        <v>179</v>
      </c>
      <c r="D69" t="s">
        <v>265</v>
      </c>
      <c r="G69">
        <v>0.149505</v>
      </c>
      <c r="J69">
        <v>8</v>
      </c>
      <c r="K69">
        <v>60</v>
      </c>
      <c r="N69" t="s">
        <v>266</v>
      </c>
      <c r="O69" t="s">
        <v>266</v>
      </c>
      <c r="P69">
        <v>1.1212875</v>
      </c>
      <c r="R69" t="s">
        <v>266</v>
      </c>
      <c r="S69" t="s">
        <v>266</v>
      </c>
      <c r="T69">
        <v>0.133333333333333</v>
      </c>
      <c r="V69" t="s">
        <v>144</v>
      </c>
    </row>
    <row r="70" spans="1:37">
      <c r="A70" t="s">
        <v>291</v>
      </c>
      <c r="B70" t="s">
        <v>264</v>
      </c>
      <c r="C70" t="s">
        <v>179</v>
      </c>
      <c r="D70" t="s">
        <v>265</v>
      </c>
      <c r="G70">
        <v>10.980053</v>
      </c>
      <c r="J70">
        <v>10</v>
      </c>
      <c r="K70">
        <v>82</v>
      </c>
      <c r="N70" t="s">
        <v>266</v>
      </c>
      <c r="O70" t="s">
        <v>266</v>
      </c>
      <c r="P70">
        <v>90.036434600000007</v>
      </c>
      <c r="R70" t="s">
        <v>266</v>
      </c>
      <c r="S70" t="s">
        <v>266</v>
      </c>
      <c r="T70">
        <v>0.12195121951219499</v>
      </c>
      <c r="V70" t="s">
        <v>144</v>
      </c>
    </row>
    <row r="71" spans="1:37">
      <c r="A71" t="s">
        <v>98</v>
      </c>
      <c r="B71" t="s">
        <v>144</v>
      </c>
      <c r="C71" t="s">
        <v>178</v>
      </c>
      <c r="D71" t="s">
        <v>268</v>
      </c>
      <c r="E71">
        <v>0.54563799999999896</v>
      </c>
      <c r="H71">
        <v>0.18</v>
      </c>
      <c r="K71">
        <v>61</v>
      </c>
      <c r="N71">
        <v>184.910655555555</v>
      </c>
      <c r="O71" t="s">
        <v>266</v>
      </c>
      <c r="P71" t="s">
        <v>266</v>
      </c>
      <c r="R71" s="36">
        <v>2.9508196721311402E-3</v>
      </c>
      <c r="S71" t="s">
        <v>266</v>
      </c>
      <c r="T71" t="s">
        <v>266</v>
      </c>
      <c r="V71" t="s">
        <v>144</v>
      </c>
      <c r="AK71" s="36"/>
    </row>
    <row r="72" spans="1:37">
      <c r="A72" t="s">
        <v>292</v>
      </c>
      <c r="B72" t="s">
        <v>144</v>
      </c>
      <c r="C72" t="s">
        <v>180</v>
      </c>
      <c r="F72">
        <v>2</v>
      </c>
      <c r="I72">
        <v>8</v>
      </c>
      <c r="J72" t="s">
        <v>293</v>
      </c>
      <c r="K72">
        <v>83</v>
      </c>
      <c r="N72" t="s">
        <v>266</v>
      </c>
      <c r="O72">
        <v>20.75</v>
      </c>
      <c r="P72" t="s">
        <v>266</v>
      </c>
      <c r="R72" t="s">
        <v>266</v>
      </c>
      <c r="S72">
        <v>9.6385542168674704E-2</v>
      </c>
      <c r="T72" t="s">
        <v>266</v>
      </c>
      <c r="V72" t="s">
        <v>144</v>
      </c>
    </row>
    <row r="73" spans="1:37">
      <c r="A73" t="s">
        <v>89</v>
      </c>
      <c r="B73" t="s">
        <v>264</v>
      </c>
      <c r="C73" t="s">
        <v>178</v>
      </c>
      <c r="D73" t="s">
        <v>265</v>
      </c>
      <c r="E73">
        <v>1.026883</v>
      </c>
      <c r="H73">
        <v>0.52</v>
      </c>
      <c r="K73">
        <v>88</v>
      </c>
      <c r="N73">
        <v>173.78020000000001</v>
      </c>
      <c r="O73" t="s">
        <v>266</v>
      </c>
      <c r="P73" t="s">
        <v>266</v>
      </c>
      <c r="R73" s="36">
        <v>5.9090909090909003E-3</v>
      </c>
      <c r="S73" t="s">
        <v>266</v>
      </c>
      <c r="T73" t="s">
        <v>266</v>
      </c>
    </row>
    <row r="74" spans="1:37">
      <c r="A74" t="s">
        <v>117</v>
      </c>
      <c r="B74" t="s">
        <v>144</v>
      </c>
      <c r="C74" t="s">
        <v>178</v>
      </c>
      <c r="D74" t="s">
        <v>265</v>
      </c>
      <c r="E74">
        <v>0.83746299999999996</v>
      </c>
      <c r="H74">
        <v>0.26</v>
      </c>
      <c r="K74">
        <v>80</v>
      </c>
      <c r="N74">
        <v>257.68092307692302</v>
      </c>
      <c r="O74" t="s">
        <v>266</v>
      </c>
      <c r="P74" t="s">
        <v>266</v>
      </c>
      <c r="R74" s="36">
        <v>3.2499999999999999E-3</v>
      </c>
      <c r="S74" t="s">
        <v>266</v>
      </c>
      <c r="T74" t="s">
        <v>266</v>
      </c>
    </row>
    <row r="75" spans="1:37">
      <c r="A75" t="s">
        <v>87</v>
      </c>
      <c r="B75" t="s">
        <v>264</v>
      </c>
      <c r="C75" t="s">
        <v>178</v>
      </c>
      <c r="D75" t="s">
        <v>265</v>
      </c>
      <c r="E75">
        <v>0.70974400000000004</v>
      </c>
      <c r="H75">
        <v>0.26</v>
      </c>
      <c r="K75">
        <v>60</v>
      </c>
      <c r="N75">
        <v>163.787076923076</v>
      </c>
      <c r="O75" t="s">
        <v>266</v>
      </c>
      <c r="P75" t="s">
        <v>266</v>
      </c>
      <c r="R75" s="36">
        <v>4.3333333333333297E-3</v>
      </c>
      <c r="S75" t="s">
        <v>266</v>
      </c>
      <c r="T75" t="s">
        <v>266</v>
      </c>
    </row>
    <row r="76" spans="1:37">
      <c r="A76" t="s">
        <v>294</v>
      </c>
      <c r="B76" t="s">
        <v>264</v>
      </c>
      <c r="C76" t="s">
        <v>178</v>
      </c>
      <c r="D76" t="s">
        <v>265</v>
      </c>
      <c r="E76">
        <v>0.77811600000000003</v>
      </c>
      <c r="H76">
        <v>0.52</v>
      </c>
      <c r="K76">
        <v>80</v>
      </c>
      <c r="N76">
        <v>119.71015384615301</v>
      </c>
      <c r="O76" t="s">
        <v>266</v>
      </c>
      <c r="P76" t="s">
        <v>266</v>
      </c>
      <c r="R76" s="36">
        <v>6.4999999999999997E-3</v>
      </c>
      <c r="S76" t="s">
        <v>266</v>
      </c>
      <c r="T76" t="s">
        <v>266</v>
      </c>
    </row>
    <row r="77" spans="1:37">
      <c r="A77" t="s">
        <v>295</v>
      </c>
      <c r="B77" t="s">
        <v>264</v>
      </c>
      <c r="C77" t="s">
        <v>178</v>
      </c>
      <c r="D77" t="s">
        <v>265</v>
      </c>
      <c r="E77">
        <v>4.7035590000000003</v>
      </c>
      <c r="H77">
        <v>1.05</v>
      </c>
      <c r="K77">
        <v>89</v>
      </c>
      <c r="N77">
        <v>398.68261999999999</v>
      </c>
      <c r="O77" t="s">
        <v>266</v>
      </c>
      <c r="P77" t="s">
        <v>266</v>
      </c>
      <c r="R77">
        <v>1.1797752808988799E-2</v>
      </c>
      <c r="S77" t="s">
        <v>266</v>
      </c>
      <c r="T77" t="s">
        <v>266</v>
      </c>
    </row>
    <row r="78" spans="1:37">
      <c r="A78" t="s">
        <v>88</v>
      </c>
      <c r="B78" t="s">
        <v>144</v>
      </c>
      <c r="C78" t="s">
        <v>179</v>
      </c>
      <c r="D78" t="s">
        <v>265</v>
      </c>
      <c r="G78">
        <v>20.3</v>
      </c>
      <c r="J78">
        <v>16</v>
      </c>
      <c r="K78">
        <v>87</v>
      </c>
      <c r="N78" t="s">
        <v>266</v>
      </c>
      <c r="O78" t="s">
        <v>266</v>
      </c>
      <c r="P78">
        <v>110.38124999999999</v>
      </c>
      <c r="R78" t="s">
        <v>266</v>
      </c>
      <c r="S78" t="s">
        <v>266</v>
      </c>
      <c r="T78">
        <v>0.18390804597701099</v>
      </c>
    </row>
    <row r="79" spans="1:37">
      <c r="A79" t="s">
        <v>54</v>
      </c>
      <c r="B79" t="s">
        <v>144</v>
      </c>
      <c r="C79" t="s">
        <v>178</v>
      </c>
      <c r="D79" t="s">
        <v>265</v>
      </c>
      <c r="E79">
        <v>1.97</v>
      </c>
      <c r="H79">
        <v>1.05</v>
      </c>
      <c r="K79">
        <v>110</v>
      </c>
      <c r="N79">
        <v>206.38095238095201</v>
      </c>
      <c r="O79" t="s">
        <v>266</v>
      </c>
      <c r="P79" t="s">
        <v>266</v>
      </c>
      <c r="R79" s="36">
        <v>9.5454545454545393E-3</v>
      </c>
      <c r="S79" t="s">
        <v>266</v>
      </c>
      <c r="T79" t="s">
        <v>266</v>
      </c>
    </row>
    <row r="80" spans="1:37">
      <c r="A80" t="s">
        <v>296</v>
      </c>
      <c r="B80" t="s">
        <v>264</v>
      </c>
      <c r="C80" t="s">
        <v>178</v>
      </c>
      <c r="D80" t="s">
        <v>265</v>
      </c>
      <c r="E80">
        <v>3.4127890000000001</v>
      </c>
      <c r="H80">
        <v>2.1</v>
      </c>
      <c r="K80">
        <v>76</v>
      </c>
      <c r="N80">
        <v>123.51045904761899</v>
      </c>
      <c r="O80" t="s">
        <v>266</v>
      </c>
      <c r="P80" t="s">
        <v>266</v>
      </c>
      <c r="R80">
        <v>2.7631578947368399E-2</v>
      </c>
      <c r="S80" t="s">
        <v>266</v>
      </c>
      <c r="T80" t="s">
        <v>266</v>
      </c>
    </row>
    <row r="81" spans="1:20">
      <c r="A81" t="s">
        <v>297</v>
      </c>
      <c r="B81" t="s">
        <v>264</v>
      </c>
      <c r="C81" t="s">
        <v>178</v>
      </c>
      <c r="D81" t="s">
        <v>265</v>
      </c>
      <c r="E81">
        <v>2.42</v>
      </c>
      <c r="H81">
        <v>0.52</v>
      </c>
      <c r="K81">
        <v>84</v>
      </c>
      <c r="N81">
        <v>390.923076923076</v>
      </c>
      <c r="O81" t="s">
        <v>266</v>
      </c>
      <c r="P81" t="s">
        <v>266</v>
      </c>
      <c r="R81" s="36">
        <v>6.1904761904761898E-3</v>
      </c>
      <c r="S81" t="s">
        <v>266</v>
      </c>
      <c r="T81" t="s">
        <v>266</v>
      </c>
    </row>
    <row r="82" spans="1:20">
      <c r="A82" t="s">
        <v>298</v>
      </c>
      <c r="B82" t="s">
        <v>264</v>
      </c>
      <c r="C82" t="s">
        <v>178</v>
      </c>
      <c r="D82" t="s">
        <v>268</v>
      </c>
      <c r="E82">
        <v>0.3</v>
      </c>
      <c r="H82">
        <v>0.09</v>
      </c>
      <c r="K82">
        <v>80</v>
      </c>
      <c r="N82">
        <v>266.666666666666</v>
      </c>
      <c r="O82" t="s">
        <v>266</v>
      </c>
      <c r="P82" t="s">
        <v>266</v>
      </c>
      <c r="R82" s="36">
        <v>1.1249999999999999E-3</v>
      </c>
      <c r="S82" t="s">
        <v>266</v>
      </c>
      <c r="T82" t="s">
        <v>266</v>
      </c>
    </row>
    <row r="83" spans="1:20">
      <c r="A83" t="s">
        <v>90</v>
      </c>
      <c r="B83" t="s">
        <v>264</v>
      </c>
      <c r="C83" t="s">
        <v>178</v>
      </c>
      <c r="D83" t="s">
        <v>265</v>
      </c>
      <c r="E83">
        <v>1.92</v>
      </c>
      <c r="H83">
        <v>1.05</v>
      </c>
      <c r="K83">
        <v>89</v>
      </c>
      <c r="N83">
        <v>162.74285714285699</v>
      </c>
      <c r="O83" t="s">
        <v>266</v>
      </c>
      <c r="P83" t="s">
        <v>266</v>
      </c>
      <c r="R83">
        <v>1.1797752808988799E-2</v>
      </c>
      <c r="S83" t="s">
        <v>266</v>
      </c>
      <c r="T83" t="s">
        <v>266</v>
      </c>
    </row>
    <row r="84" spans="1:20">
      <c r="A84" t="s">
        <v>91</v>
      </c>
      <c r="B84" t="s">
        <v>144</v>
      </c>
      <c r="C84" t="s">
        <v>180</v>
      </c>
      <c r="F84">
        <v>1.66</v>
      </c>
      <c r="I84">
        <v>4</v>
      </c>
      <c r="K84">
        <v>56.4</v>
      </c>
      <c r="N84" t="s">
        <v>266</v>
      </c>
      <c r="O84">
        <v>23.405999999999999</v>
      </c>
      <c r="P84" t="s">
        <v>266</v>
      </c>
      <c r="R84" t="s">
        <v>266</v>
      </c>
      <c r="S84">
        <v>7.0921985815602898E-2</v>
      </c>
      <c r="T84" t="s">
        <v>266</v>
      </c>
    </row>
    <row r="85" spans="1:20">
      <c r="A85" t="s">
        <v>119</v>
      </c>
      <c r="B85" t="s">
        <v>144</v>
      </c>
      <c r="C85" t="s">
        <v>178</v>
      </c>
      <c r="D85" t="s">
        <v>265</v>
      </c>
      <c r="E85">
        <v>4.05</v>
      </c>
      <c r="H85">
        <v>1.05</v>
      </c>
      <c r="K85">
        <v>66</v>
      </c>
      <c r="N85">
        <v>254.57142857142799</v>
      </c>
      <c r="O85" t="s">
        <v>266</v>
      </c>
      <c r="P85" t="s">
        <v>266</v>
      </c>
      <c r="R85">
        <v>1.5909090909090901E-2</v>
      </c>
      <c r="S85" t="s">
        <v>266</v>
      </c>
      <c r="T85" t="s">
        <v>266</v>
      </c>
    </row>
    <row r="86" spans="1:20">
      <c r="A86" t="s">
        <v>299</v>
      </c>
      <c r="B86" t="s">
        <v>264</v>
      </c>
      <c r="C86" t="s">
        <v>180</v>
      </c>
      <c r="F86">
        <v>2.97</v>
      </c>
      <c r="I86">
        <v>8</v>
      </c>
      <c r="K86">
        <v>81</v>
      </c>
      <c r="N86" t="s">
        <v>266</v>
      </c>
      <c r="O86">
        <v>30.071249999999999</v>
      </c>
      <c r="P86" t="s">
        <v>266</v>
      </c>
      <c r="R86" t="s">
        <v>266</v>
      </c>
      <c r="S86">
        <v>9.8765432098765399E-2</v>
      </c>
      <c r="T86" t="s">
        <v>266</v>
      </c>
    </row>
    <row r="87" spans="1:20">
      <c r="A87" t="s">
        <v>118</v>
      </c>
      <c r="B87" t="s">
        <v>144</v>
      </c>
      <c r="C87" t="s">
        <v>180</v>
      </c>
      <c r="F87">
        <v>4.2999999999999997E-2</v>
      </c>
      <c r="I87">
        <v>6</v>
      </c>
      <c r="K87">
        <v>65</v>
      </c>
      <c r="N87" t="s">
        <v>266</v>
      </c>
      <c r="O87">
        <v>0.46583333333333299</v>
      </c>
      <c r="P87" t="s">
        <v>266</v>
      </c>
      <c r="R87" t="s">
        <v>266</v>
      </c>
      <c r="S87">
        <v>9.2307692307692299E-2</v>
      </c>
      <c r="T87" t="s">
        <v>266</v>
      </c>
    </row>
    <row r="88" spans="1:20">
      <c r="A88" t="s">
        <v>111</v>
      </c>
      <c r="B88" t="s">
        <v>144</v>
      </c>
      <c r="C88" t="s">
        <v>178</v>
      </c>
      <c r="D88" t="s">
        <v>265</v>
      </c>
      <c r="E88">
        <v>4</v>
      </c>
      <c r="H88">
        <v>2.1</v>
      </c>
      <c r="K88">
        <v>64</v>
      </c>
      <c r="N88">
        <v>121.904761904761</v>
      </c>
      <c r="O88" t="s">
        <v>266</v>
      </c>
      <c r="P88" t="s">
        <v>266</v>
      </c>
      <c r="R88">
        <v>3.2812500000000001E-2</v>
      </c>
      <c r="S88" t="s">
        <v>266</v>
      </c>
      <c r="T88" t="s">
        <v>266</v>
      </c>
    </row>
    <row r="89" spans="1:20">
      <c r="A89" t="s">
        <v>112</v>
      </c>
      <c r="B89" t="s">
        <v>144</v>
      </c>
      <c r="C89" t="s">
        <v>179</v>
      </c>
      <c r="D89" t="s">
        <v>265</v>
      </c>
      <c r="G89">
        <v>29.56</v>
      </c>
      <c r="J89">
        <v>8</v>
      </c>
      <c r="K89">
        <v>70</v>
      </c>
      <c r="N89" t="s">
        <v>266</v>
      </c>
      <c r="O89" t="s">
        <v>266</v>
      </c>
      <c r="P89">
        <v>258.64999999999998</v>
      </c>
      <c r="R89" t="s">
        <v>266</v>
      </c>
      <c r="S89" t="s">
        <v>266</v>
      </c>
      <c r="T89">
        <v>0.114285714285714</v>
      </c>
    </row>
    <row r="90" spans="1:20">
      <c r="A90" t="s">
        <v>110</v>
      </c>
      <c r="B90" t="s">
        <v>144</v>
      </c>
      <c r="C90" t="s">
        <v>178</v>
      </c>
      <c r="D90" t="s">
        <v>268</v>
      </c>
      <c r="E90">
        <v>3.6</v>
      </c>
      <c r="H90">
        <v>0.69999999999999896</v>
      </c>
      <c r="K90">
        <v>48</v>
      </c>
      <c r="N90">
        <v>246.85714285714201</v>
      </c>
      <c r="O90" t="s">
        <v>266</v>
      </c>
      <c r="P90" t="s">
        <v>266</v>
      </c>
      <c r="R90">
        <v>1.4583333333333301E-2</v>
      </c>
      <c r="S90" t="s">
        <v>266</v>
      </c>
      <c r="T90" t="s">
        <v>266</v>
      </c>
    </row>
    <row r="91" spans="1:20">
      <c r="A91" t="s">
        <v>300</v>
      </c>
      <c r="B91" t="s">
        <v>144</v>
      </c>
      <c r="C91" t="s">
        <v>178</v>
      </c>
      <c r="D91" t="s">
        <v>301</v>
      </c>
      <c r="E91">
        <v>0.71</v>
      </c>
      <c r="H91">
        <v>0.44</v>
      </c>
      <c r="K91">
        <v>68</v>
      </c>
      <c r="N91">
        <v>109.72727272727199</v>
      </c>
      <c r="O91" t="s">
        <v>266</v>
      </c>
      <c r="P91" t="s">
        <v>266</v>
      </c>
      <c r="R91" s="36">
        <v>6.4705882352941099E-3</v>
      </c>
      <c r="S91" t="s">
        <v>266</v>
      </c>
      <c r="T91" t="s">
        <v>266</v>
      </c>
    </row>
    <row r="92" spans="1:20">
      <c r="A92" t="s">
        <v>302</v>
      </c>
      <c r="B92" t="s">
        <v>264</v>
      </c>
      <c r="C92" t="s">
        <v>180</v>
      </c>
      <c r="F92">
        <v>0.52</v>
      </c>
      <c r="I92">
        <v>12</v>
      </c>
      <c r="K92">
        <v>107</v>
      </c>
      <c r="N92" t="s">
        <v>266</v>
      </c>
      <c r="O92">
        <v>4.6366666666666596</v>
      </c>
      <c r="P92" t="s">
        <v>266</v>
      </c>
      <c r="R92" t="s">
        <v>266</v>
      </c>
      <c r="S92">
        <v>0.11214953271028</v>
      </c>
      <c r="T92" t="s">
        <v>266</v>
      </c>
    </row>
    <row r="93" spans="1:20">
      <c r="A93" t="s">
        <v>303</v>
      </c>
      <c r="B93" t="s">
        <v>264</v>
      </c>
      <c r="C93" t="s">
        <v>179</v>
      </c>
      <c r="D93" t="s">
        <v>265</v>
      </c>
      <c r="G93">
        <v>21.4</v>
      </c>
      <c r="I93" t="s">
        <v>266</v>
      </c>
      <c r="J93">
        <v>16</v>
      </c>
      <c r="K93">
        <v>70</v>
      </c>
      <c r="N93" t="s">
        <v>266</v>
      </c>
      <c r="O93" t="s">
        <v>266</v>
      </c>
      <c r="P93">
        <v>93.625</v>
      </c>
      <c r="R93" t="s">
        <v>266</v>
      </c>
      <c r="S93" t="s">
        <v>266</v>
      </c>
      <c r="T93">
        <v>0.22857142857142801</v>
      </c>
    </row>
    <row r="94" spans="1:20">
      <c r="A94" t="s">
        <v>120</v>
      </c>
      <c r="B94" t="s">
        <v>144</v>
      </c>
      <c r="C94" t="s">
        <v>179</v>
      </c>
      <c r="D94" t="s">
        <v>265</v>
      </c>
      <c r="G94">
        <v>0.39</v>
      </c>
      <c r="I94" t="s">
        <v>266</v>
      </c>
      <c r="J94">
        <v>4</v>
      </c>
      <c r="K94">
        <v>72</v>
      </c>
      <c r="N94" t="s">
        <v>266</v>
      </c>
      <c r="O94" t="s">
        <v>266</v>
      </c>
      <c r="P94">
        <v>7.02</v>
      </c>
      <c r="R94" t="s">
        <v>266</v>
      </c>
      <c r="S94" t="s">
        <v>266</v>
      </c>
      <c r="T94">
        <v>5.5555555555555601E-2</v>
      </c>
    </row>
    <row r="95" spans="1:20">
      <c r="A95" t="s">
        <v>304</v>
      </c>
      <c r="B95" t="s">
        <v>264</v>
      </c>
      <c r="C95" t="s">
        <v>178</v>
      </c>
      <c r="D95" t="s">
        <v>268</v>
      </c>
      <c r="E95">
        <v>0.76</v>
      </c>
      <c r="H95">
        <v>0.18</v>
      </c>
      <c r="I95" t="s">
        <v>266</v>
      </c>
      <c r="K95">
        <v>68</v>
      </c>
      <c r="N95">
        <v>287.11111111111097</v>
      </c>
      <c r="O95" t="s">
        <v>266</v>
      </c>
      <c r="P95" t="s">
        <v>266</v>
      </c>
      <c r="R95" s="36">
        <v>2.6470588235294099E-3</v>
      </c>
      <c r="S95" t="s">
        <v>266</v>
      </c>
      <c r="T95" t="s">
        <v>266</v>
      </c>
    </row>
    <row r="96" spans="1:20">
      <c r="A96" t="s">
        <v>122</v>
      </c>
      <c r="B96" t="s">
        <v>144</v>
      </c>
      <c r="C96" t="s">
        <v>179</v>
      </c>
      <c r="D96" t="s">
        <v>265</v>
      </c>
      <c r="G96">
        <v>9.5</v>
      </c>
      <c r="I96" t="s">
        <v>266</v>
      </c>
      <c r="J96">
        <v>24</v>
      </c>
      <c r="K96">
        <v>78</v>
      </c>
      <c r="N96" t="s">
        <v>266</v>
      </c>
      <c r="O96" t="s">
        <v>266</v>
      </c>
      <c r="P96">
        <v>30.875</v>
      </c>
      <c r="R96" t="s">
        <v>266</v>
      </c>
      <c r="S96" t="s">
        <v>266</v>
      </c>
      <c r="T96">
        <v>0.30769230769230699</v>
      </c>
    </row>
    <row r="97" spans="1:20">
      <c r="A97" t="s">
        <v>123</v>
      </c>
      <c r="B97" t="s">
        <v>264</v>
      </c>
      <c r="C97" t="s">
        <v>179</v>
      </c>
      <c r="D97" t="s">
        <v>265</v>
      </c>
      <c r="G97">
        <v>7.92</v>
      </c>
      <c r="I97" t="s">
        <v>266</v>
      </c>
      <c r="J97">
        <v>12</v>
      </c>
      <c r="K97">
        <v>73</v>
      </c>
      <c r="N97" t="s">
        <v>266</v>
      </c>
      <c r="O97" t="s">
        <v>266</v>
      </c>
      <c r="P97">
        <v>48.18</v>
      </c>
      <c r="R97" t="s">
        <v>266</v>
      </c>
      <c r="S97" t="s">
        <v>266</v>
      </c>
      <c r="T97">
        <v>0.164383561643835</v>
      </c>
    </row>
    <row r="98" spans="1:20">
      <c r="A98" t="s">
        <v>305</v>
      </c>
      <c r="B98" t="s">
        <v>264</v>
      </c>
      <c r="C98" t="s">
        <v>178</v>
      </c>
      <c r="D98" t="s">
        <v>265</v>
      </c>
      <c r="E98">
        <v>1.43</v>
      </c>
      <c r="H98">
        <v>0.52</v>
      </c>
      <c r="I98" t="s">
        <v>266</v>
      </c>
      <c r="K98">
        <v>80</v>
      </c>
      <c r="N98">
        <v>220</v>
      </c>
      <c r="O98" t="s">
        <v>266</v>
      </c>
      <c r="P98" t="s">
        <v>266</v>
      </c>
      <c r="R98" s="36">
        <v>6.4999999999999997E-3</v>
      </c>
      <c r="S98" t="s">
        <v>266</v>
      </c>
      <c r="T98" t="s">
        <v>266</v>
      </c>
    </row>
    <row r="99" spans="1:20">
      <c r="A99" t="s">
        <v>306</v>
      </c>
      <c r="B99" t="s">
        <v>264</v>
      </c>
      <c r="C99" t="s">
        <v>178</v>
      </c>
      <c r="D99" t="s">
        <v>265</v>
      </c>
      <c r="E99">
        <v>1.28</v>
      </c>
      <c r="H99">
        <v>0.26</v>
      </c>
      <c r="I99" t="s">
        <v>266</v>
      </c>
      <c r="K99">
        <v>79</v>
      </c>
      <c r="N99">
        <v>388.923076923076</v>
      </c>
      <c r="O99" t="s">
        <v>266</v>
      </c>
      <c r="P99" t="s">
        <v>266</v>
      </c>
      <c r="R99" s="36">
        <v>3.2911392405063199E-3</v>
      </c>
      <c r="S99" t="s">
        <v>266</v>
      </c>
      <c r="T99" t="s">
        <v>266</v>
      </c>
    </row>
    <row r="100" spans="1:20">
      <c r="A100" t="s">
        <v>121</v>
      </c>
      <c r="B100" t="s">
        <v>264</v>
      </c>
      <c r="C100" t="s">
        <v>178</v>
      </c>
      <c r="D100" t="s">
        <v>265</v>
      </c>
      <c r="E100">
        <v>4.7300000000000004</v>
      </c>
      <c r="H100">
        <v>2.1</v>
      </c>
      <c r="I100" t="s">
        <v>266</v>
      </c>
      <c r="K100">
        <v>67</v>
      </c>
      <c r="N100">
        <v>150.90952380952299</v>
      </c>
      <c r="O100" t="s">
        <v>266</v>
      </c>
      <c r="P100" t="s">
        <v>266</v>
      </c>
      <c r="R100">
        <v>3.1343283582089598E-2</v>
      </c>
      <c r="S100" t="s">
        <v>266</v>
      </c>
      <c r="T100" t="s">
        <v>266</v>
      </c>
    </row>
    <row r="101" spans="1:20">
      <c r="A101" t="s">
        <v>124</v>
      </c>
      <c r="B101" t="s">
        <v>264</v>
      </c>
      <c r="C101" t="s">
        <v>180</v>
      </c>
      <c r="F101">
        <v>0.77</v>
      </c>
      <c r="I101">
        <v>4</v>
      </c>
      <c r="K101">
        <v>65</v>
      </c>
      <c r="N101" t="s">
        <v>266</v>
      </c>
      <c r="O101">
        <v>12.512499999999999</v>
      </c>
      <c r="P101" t="s">
        <v>266</v>
      </c>
      <c r="R101" t="s">
        <v>266</v>
      </c>
      <c r="S101">
        <v>6.1538461538461597E-2</v>
      </c>
      <c r="T101" t="s">
        <v>266</v>
      </c>
    </row>
    <row r="102" spans="1:20">
      <c r="A102" t="s">
        <v>307</v>
      </c>
      <c r="B102" t="s">
        <v>264</v>
      </c>
      <c r="C102" t="s">
        <v>180</v>
      </c>
      <c r="F102">
        <v>0.25</v>
      </c>
      <c r="I102">
        <v>4</v>
      </c>
      <c r="K102">
        <v>76</v>
      </c>
      <c r="N102" t="s">
        <v>266</v>
      </c>
      <c r="O102">
        <v>4.75</v>
      </c>
      <c r="P102" t="s">
        <v>266</v>
      </c>
      <c r="R102" t="s">
        <v>266</v>
      </c>
      <c r="S102">
        <v>5.2631578947368397E-2</v>
      </c>
      <c r="T102" t="s">
        <v>266</v>
      </c>
    </row>
    <row r="103" spans="1:20">
      <c r="A103" t="s">
        <v>126</v>
      </c>
      <c r="B103" t="s">
        <v>264</v>
      </c>
      <c r="C103" t="s">
        <v>178</v>
      </c>
      <c r="D103" t="s">
        <v>268</v>
      </c>
      <c r="E103">
        <v>0.53</v>
      </c>
      <c r="H103">
        <v>0.54</v>
      </c>
      <c r="I103" t="s">
        <v>266</v>
      </c>
      <c r="K103">
        <v>95</v>
      </c>
      <c r="N103">
        <v>93.240740740740705</v>
      </c>
      <c r="O103" t="s">
        <v>266</v>
      </c>
      <c r="P103" t="s">
        <v>266</v>
      </c>
      <c r="R103" s="36">
        <v>5.6842105263157899E-3</v>
      </c>
      <c r="S103" t="s">
        <v>266</v>
      </c>
      <c r="T103" t="s">
        <v>266</v>
      </c>
    </row>
    <row r="104" spans="1:20">
      <c r="A104" t="s">
        <v>128</v>
      </c>
      <c r="B104" t="s">
        <v>144</v>
      </c>
      <c r="C104" t="s">
        <v>178</v>
      </c>
      <c r="D104" t="s">
        <v>265</v>
      </c>
      <c r="E104">
        <v>1.57</v>
      </c>
      <c r="H104">
        <v>1.05</v>
      </c>
      <c r="I104" t="s">
        <v>266</v>
      </c>
      <c r="K104">
        <v>75</v>
      </c>
      <c r="N104">
        <v>112.142857142857</v>
      </c>
      <c r="O104" t="s">
        <v>266</v>
      </c>
      <c r="P104" t="s">
        <v>266</v>
      </c>
      <c r="R104">
        <v>1.4E-2</v>
      </c>
      <c r="S104" t="s">
        <v>266</v>
      </c>
      <c r="T104" t="s">
        <v>266</v>
      </c>
    </row>
    <row r="105" spans="1:20">
      <c r="A105" t="s">
        <v>127</v>
      </c>
      <c r="B105" t="s">
        <v>264</v>
      </c>
      <c r="C105" t="s">
        <v>178</v>
      </c>
      <c r="D105" t="s">
        <v>265</v>
      </c>
      <c r="E105">
        <v>5.77</v>
      </c>
      <c r="H105">
        <v>3.15</v>
      </c>
      <c r="I105" t="s">
        <v>266</v>
      </c>
      <c r="K105">
        <v>75</v>
      </c>
      <c r="N105">
        <v>137.38095238095201</v>
      </c>
      <c r="O105" t="s">
        <v>266</v>
      </c>
      <c r="P105" t="s">
        <v>266</v>
      </c>
      <c r="R105">
        <v>4.2000000000000003E-2</v>
      </c>
      <c r="S105" t="s">
        <v>266</v>
      </c>
      <c r="T105" t="s">
        <v>266</v>
      </c>
    </row>
    <row r="106" spans="1:20">
      <c r="A106" t="s">
        <v>149</v>
      </c>
      <c r="B106" t="s">
        <v>144</v>
      </c>
      <c r="C106" t="s">
        <v>178</v>
      </c>
      <c r="D106" t="s">
        <v>265</v>
      </c>
      <c r="E106">
        <v>3.85</v>
      </c>
      <c r="H106">
        <v>2.1</v>
      </c>
      <c r="I106" t="s">
        <v>266</v>
      </c>
      <c r="K106">
        <v>100</v>
      </c>
      <c r="N106">
        <v>183.333333333333</v>
      </c>
      <c r="O106" t="s">
        <v>266</v>
      </c>
      <c r="P106" t="s">
        <v>266</v>
      </c>
      <c r="R106">
        <v>2.1000000000000001E-2</v>
      </c>
      <c r="S106" t="s">
        <v>266</v>
      </c>
      <c r="T106" t="s">
        <v>266</v>
      </c>
    </row>
    <row r="107" spans="1:20">
      <c r="A107" t="s">
        <v>189</v>
      </c>
      <c r="B107" t="s">
        <v>264</v>
      </c>
      <c r="C107" t="s">
        <v>178</v>
      </c>
      <c r="D107" t="s">
        <v>268</v>
      </c>
      <c r="E107">
        <v>2.81</v>
      </c>
      <c r="H107">
        <v>1.57</v>
      </c>
      <c r="I107" t="s">
        <v>266</v>
      </c>
      <c r="K107">
        <v>59</v>
      </c>
      <c r="N107">
        <v>105.598726114649</v>
      </c>
      <c r="O107" t="s">
        <v>266</v>
      </c>
      <c r="P107" t="s">
        <v>266</v>
      </c>
      <c r="R107">
        <v>2.66101694915254E-2</v>
      </c>
      <c r="S107" t="s">
        <v>266</v>
      </c>
      <c r="T107" t="s">
        <v>266</v>
      </c>
    </row>
    <row r="108" spans="1:20">
      <c r="A108" t="s">
        <v>308</v>
      </c>
      <c r="B108" t="s">
        <v>264</v>
      </c>
      <c r="C108" t="s">
        <v>178</v>
      </c>
      <c r="D108" t="s">
        <v>268</v>
      </c>
      <c r="E108">
        <v>0.46</v>
      </c>
      <c r="H108">
        <v>0.27</v>
      </c>
      <c r="I108" t="s">
        <v>266</v>
      </c>
      <c r="K108">
        <v>79</v>
      </c>
      <c r="N108">
        <v>134.59259259259201</v>
      </c>
      <c r="O108" t="s">
        <v>266</v>
      </c>
      <c r="P108" t="s">
        <v>266</v>
      </c>
      <c r="R108" s="36">
        <v>3.4177215189873399E-3</v>
      </c>
      <c r="S108" t="s">
        <v>266</v>
      </c>
      <c r="T108" t="s">
        <v>266</v>
      </c>
    </row>
    <row r="109" spans="1:20">
      <c r="A109" t="s">
        <v>239</v>
      </c>
      <c r="B109" t="s">
        <v>264</v>
      </c>
      <c r="C109" t="s">
        <v>178</v>
      </c>
      <c r="D109" t="s">
        <v>265</v>
      </c>
      <c r="E109">
        <v>2.0699999999999998</v>
      </c>
      <c r="H109">
        <v>2.1</v>
      </c>
      <c r="I109" t="s">
        <v>266</v>
      </c>
      <c r="J109" t="s">
        <v>266</v>
      </c>
      <c r="K109">
        <v>110</v>
      </c>
      <c r="N109">
        <v>108.428571428571</v>
      </c>
      <c r="O109" t="s">
        <v>266</v>
      </c>
      <c r="P109" t="s">
        <v>266</v>
      </c>
      <c r="R109">
        <v>1.9090909090909099E-2</v>
      </c>
      <c r="S109" t="s">
        <v>266</v>
      </c>
      <c r="T109" t="s">
        <v>266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Q208"/>
  <sheetViews>
    <sheetView zoomScaleNormal="100" workbookViewId="0">
      <pane xSplit="1" topLeftCell="BA1" activePane="topRight" state="frozen"/>
      <selection pane="topRight" activeCell="AZ34" sqref="AZ34"/>
    </sheetView>
  </sheetViews>
  <sheetFormatPr defaultColWidth="11" defaultRowHeight="15.5"/>
  <cols>
    <col min="3" max="3" width="16.33203125" customWidth="1"/>
    <col min="6" max="6" width="21.33203125" customWidth="1"/>
    <col min="7" max="7" width="15.5" customWidth="1"/>
    <col min="8" max="8" width="17.33203125" customWidth="1"/>
    <col min="34" max="34" width="14.83203125" customWidth="1"/>
    <col min="36" max="36" width="15.83203125" customWidth="1"/>
    <col min="64" max="64" width="17.58203125" bestFit="1" customWidth="1"/>
    <col min="65" max="65" width="19.33203125" customWidth="1"/>
    <col min="66" max="66" width="15.25" bestFit="1" customWidth="1"/>
    <col min="67" max="67" width="16.33203125" customWidth="1"/>
    <col min="68" max="68" width="15.25" bestFit="1" customWidth="1"/>
    <col min="69" max="69" width="14.33203125" customWidth="1"/>
  </cols>
  <sheetData>
    <row r="1" spans="1:69">
      <c r="T1" t="s">
        <v>35</v>
      </c>
      <c r="W1" t="s">
        <v>32</v>
      </c>
      <c r="AH1" t="s">
        <v>36</v>
      </c>
      <c r="AK1" t="s">
        <v>33</v>
      </c>
      <c r="AV1" s="11" t="s">
        <v>78</v>
      </c>
    </row>
    <row r="2" spans="1:69">
      <c r="A2" s="10" t="s">
        <v>39</v>
      </c>
      <c r="K2" t="s">
        <v>159</v>
      </c>
      <c r="T2" t="s">
        <v>133</v>
      </c>
      <c r="U2" t="s">
        <v>134</v>
      </c>
      <c r="V2" t="s">
        <v>135</v>
      </c>
      <c r="W2">
        <v>1</v>
      </c>
      <c r="X2" t="s">
        <v>136</v>
      </c>
      <c r="Y2" t="s">
        <v>137</v>
      </c>
      <c r="Z2">
        <v>3</v>
      </c>
      <c r="AA2">
        <v>4</v>
      </c>
      <c r="AB2">
        <v>5</v>
      </c>
      <c r="AC2" t="s">
        <v>138</v>
      </c>
      <c r="AD2" t="s">
        <v>139</v>
      </c>
      <c r="AE2">
        <v>7</v>
      </c>
      <c r="AF2" t="s">
        <v>140</v>
      </c>
      <c r="AG2" t="s">
        <v>141</v>
      </c>
      <c r="AH2" t="s">
        <v>143</v>
      </c>
      <c r="AI2" t="s">
        <v>142</v>
      </c>
      <c r="AJ2" t="s">
        <v>144</v>
      </c>
      <c r="AR2" t="s">
        <v>34</v>
      </c>
      <c r="AV2" t="s">
        <v>79</v>
      </c>
      <c r="AW2" t="s">
        <v>80</v>
      </c>
      <c r="AX2" t="s">
        <v>81</v>
      </c>
      <c r="AY2" t="s">
        <v>82</v>
      </c>
      <c r="AZ2" s="2" t="s">
        <v>55</v>
      </c>
      <c r="BA2" t="s">
        <v>56</v>
      </c>
      <c r="BB2" t="s">
        <v>225</v>
      </c>
      <c r="BH2" s="2" t="s">
        <v>57</v>
      </c>
      <c r="BI2" t="s">
        <v>56</v>
      </c>
      <c r="BJ2" t="s">
        <v>58</v>
      </c>
      <c r="BK2" t="s">
        <v>39</v>
      </c>
    </row>
    <row r="3" spans="1:69">
      <c r="A3" t="s">
        <v>1</v>
      </c>
      <c r="B3" t="s">
        <v>100</v>
      </c>
      <c r="C3" t="s">
        <v>101</v>
      </c>
      <c r="D3" t="s">
        <v>102</v>
      </c>
      <c r="E3" t="s">
        <v>153</v>
      </c>
      <c r="F3" t="s">
        <v>154</v>
      </c>
      <c r="G3" t="s">
        <v>155</v>
      </c>
      <c r="H3" t="s">
        <v>156</v>
      </c>
      <c r="I3" t="s">
        <v>157</v>
      </c>
      <c r="J3" t="s">
        <v>158</v>
      </c>
      <c r="K3" s="12" t="s">
        <v>178</v>
      </c>
      <c r="L3" s="17" t="s">
        <v>179</v>
      </c>
      <c r="M3" s="22" t="s">
        <v>180</v>
      </c>
      <c r="N3" t="s">
        <v>160</v>
      </c>
      <c r="O3" t="s">
        <v>161</v>
      </c>
      <c r="P3" t="s">
        <v>162</v>
      </c>
      <c r="Q3" t="s">
        <v>103</v>
      </c>
      <c r="R3" t="s">
        <v>105</v>
      </c>
      <c r="S3" t="s">
        <v>104</v>
      </c>
      <c r="T3" s="2" t="s">
        <v>3</v>
      </c>
      <c r="U3" s="2" t="s">
        <v>4</v>
      </c>
      <c r="V3" s="2" t="s">
        <v>5</v>
      </c>
      <c r="W3" s="3" t="s">
        <v>6</v>
      </c>
      <c r="X3" s="3" t="s">
        <v>7</v>
      </c>
      <c r="Y3" s="3" t="s">
        <v>8</v>
      </c>
      <c r="Z3" s="3" t="s">
        <v>9</v>
      </c>
      <c r="AA3" s="3" t="s">
        <v>10</v>
      </c>
      <c r="AB3" s="3" t="s">
        <v>11</v>
      </c>
      <c r="AC3" s="3" t="s">
        <v>12</v>
      </c>
      <c r="AD3" s="3" t="s">
        <v>13</v>
      </c>
      <c r="AE3" s="3" t="s">
        <v>14</v>
      </c>
      <c r="AF3" s="3" t="s">
        <v>15</v>
      </c>
      <c r="AG3" s="3" t="s">
        <v>16</v>
      </c>
      <c r="AH3" s="4" t="s">
        <v>17</v>
      </c>
      <c r="AI3" s="4" t="s">
        <v>18</v>
      </c>
      <c r="AJ3" s="4" t="s">
        <v>19</v>
      </c>
      <c r="AK3" s="5" t="s">
        <v>20</v>
      </c>
      <c r="AL3" s="5" t="s">
        <v>21</v>
      </c>
      <c r="AM3" s="5" t="s">
        <v>22</v>
      </c>
      <c r="AN3" s="5" t="s">
        <v>23</v>
      </c>
      <c r="AO3" s="5" t="s">
        <v>24</v>
      </c>
      <c r="AP3" s="5" t="s">
        <v>25</v>
      </c>
      <c r="AQ3" s="5" t="s">
        <v>26</v>
      </c>
      <c r="AR3" s="6" t="s">
        <v>27</v>
      </c>
      <c r="AS3" s="6" t="s">
        <v>28</v>
      </c>
      <c r="AT3" s="6" t="s">
        <v>29</v>
      </c>
      <c r="AU3" s="7" t="s">
        <v>31</v>
      </c>
      <c r="AY3">
        <f>SUM(AV3:AX3)</f>
        <v>0</v>
      </c>
      <c r="BB3" t="s">
        <v>226</v>
      </c>
      <c r="BC3" t="s">
        <v>227</v>
      </c>
      <c r="BD3" t="s">
        <v>228</v>
      </c>
      <c r="BE3" t="s">
        <v>229</v>
      </c>
      <c r="BF3" t="s">
        <v>230</v>
      </c>
      <c r="BG3" t="s">
        <v>231</v>
      </c>
      <c r="BK3" t="s">
        <v>1</v>
      </c>
      <c r="BL3" t="s">
        <v>254</v>
      </c>
      <c r="BM3" t="s">
        <v>260</v>
      </c>
      <c r="BN3" t="s">
        <v>255</v>
      </c>
      <c r="BO3" t="s">
        <v>261</v>
      </c>
      <c r="BP3" t="s">
        <v>256</v>
      </c>
      <c r="BQ3" t="s">
        <v>262</v>
      </c>
    </row>
    <row r="4" spans="1:69">
      <c r="A4" s="12" t="s">
        <v>38</v>
      </c>
      <c r="B4">
        <v>72</v>
      </c>
      <c r="C4">
        <v>13</v>
      </c>
      <c r="D4" t="s">
        <v>107</v>
      </c>
      <c r="E4">
        <v>95</v>
      </c>
      <c r="F4" t="s">
        <v>165</v>
      </c>
      <c r="G4" t="s">
        <v>167</v>
      </c>
      <c r="H4" t="s">
        <v>167</v>
      </c>
      <c r="I4" t="s">
        <v>166</v>
      </c>
      <c r="J4">
        <v>300</v>
      </c>
      <c r="K4">
        <v>0.54</v>
      </c>
      <c r="N4">
        <v>2</v>
      </c>
      <c r="O4">
        <v>33</v>
      </c>
      <c r="P4">
        <v>354</v>
      </c>
      <c r="Q4">
        <v>7</v>
      </c>
      <c r="R4">
        <v>1.5</v>
      </c>
      <c r="S4">
        <v>7</v>
      </c>
      <c r="T4" s="2">
        <v>44</v>
      </c>
      <c r="U4" s="2">
        <v>70</v>
      </c>
      <c r="V4" s="2">
        <v>38</v>
      </c>
      <c r="W4" s="3">
        <v>51</v>
      </c>
      <c r="X4" s="3">
        <v>33</v>
      </c>
      <c r="Y4" s="3">
        <v>16</v>
      </c>
      <c r="Z4" s="3">
        <v>72</v>
      </c>
      <c r="AA4" s="3">
        <v>55</v>
      </c>
      <c r="AB4" s="3">
        <v>50</v>
      </c>
      <c r="AC4" s="3">
        <v>34</v>
      </c>
      <c r="AD4" s="3">
        <v>13</v>
      </c>
      <c r="AE4" s="8">
        <v>93</v>
      </c>
      <c r="AF4" s="3">
        <v>24</v>
      </c>
      <c r="AG4" s="3">
        <v>0</v>
      </c>
      <c r="AH4" s="4">
        <v>0</v>
      </c>
      <c r="AI4" s="4">
        <v>7</v>
      </c>
      <c r="AJ4" s="4">
        <v>48</v>
      </c>
      <c r="AK4" s="5">
        <v>75</v>
      </c>
      <c r="AL4" s="5">
        <v>62</v>
      </c>
      <c r="AM4" s="5">
        <v>0</v>
      </c>
      <c r="AN4" s="5">
        <v>20</v>
      </c>
      <c r="AO4" s="5">
        <v>0</v>
      </c>
      <c r="AP4" s="5">
        <v>20</v>
      </c>
      <c r="AQ4" s="5">
        <v>45</v>
      </c>
      <c r="AR4" s="6">
        <v>10</v>
      </c>
      <c r="AS4" s="6">
        <v>12</v>
      </c>
      <c r="AT4" s="6">
        <v>20</v>
      </c>
      <c r="AU4" s="7">
        <v>700</v>
      </c>
      <c r="AV4">
        <v>14</v>
      </c>
      <c r="AW4">
        <v>19</v>
      </c>
      <c r="AX4">
        <v>23</v>
      </c>
      <c r="AY4">
        <f>SUM(AV4:AX4)</f>
        <v>56</v>
      </c>
      <c r="AZ4">
        <v>30</v>
      </c>
      <c r="BA4">
        <v>27.7</v>
      </c>
      <c r="BB4">
        <v>3</v>
      </c>
      <c r="BC4">
        <v>1</v>
      </c>
      <c r="BD4">
        <v>2</v>
      </c>
      <c r="BE4">
        <v>3</v>
      </c>
      <c r="BF4">
        <v>3</v>
      </c>
      <c r="BG4">
        <v>3</v>
      </c>
      <c r="BH4">
        <v>15</v>
      </c>
      <c r="BI4">
        <v>14.9</v>
      </c>
      <c r="BJ4">
        <v>2</v>
      </c>
      <c r="BK4" t="s">
        <v>38</v>
      </c>
      <c r="BL4">
        <v>1.53</v>
      </c>
      <c r="BM4">
        <v>0.54</v>
      </c>
    </row>
    <row r="5" spans="1:69">
      <c r="A5" s="12" t="s">
        <v>87</v>
      </c>
      <c r="B5">
        <v>51</v>
      </c>
      <c r="C5">
        <v>11</v>
      </c>
      <c r="D5" t="s">
        <v>106</v>
      </c>
      <c r="E5">
        <v>60</v>
      </c>
      <c r="F5" t="s">
        <v>165</v>
      </c>
      <c r="G5" t="s">
        <v>166</v>
      </c>
      <c r="H5" t="s">
        <v>167</v>
      </c>
      <c r="I5" t="s">
        <v>167</v>
      </c>
      <c r="J5">
        <v>300</v>
      </c>
      <c r="K5">
        <v>0.26</v>
      </c>
      <c r="N5">
        <v>1</v>
      </c>
      <c r="O5">
        <v>5</v>
      </c>
      <c r="P5" s="25"/>
      <c r="Q5">
        <v>3</v>
      </c>
      <c r="R5">
        <v>0.6</v>
      </c>
      <c r="S5">
        <v>1</v>
      </c>
      <c r="T5" s="2">
        <v>55</v>
      </c>
      <c r="U5" s="2">
        <v>74</v>
      </c>
      <c r="V5" s="2">
        <v>45</v>
      </c>
      <c r="W5" s="3">
        <v>68</v>
      </c>
      <c r="X5" s="3">
        <v>60</v>
      </c>
      <c r="Y5" s="3">
        <v>20</v>
      </c>
      <c r="Z5" s="3">
        <v>42</v>
      </c>
      <c r="AA5" s="3">
        <v>36</v>
      </c>
      <c r="AB5" s="3">
        <v>60</v>
      </c>
      <c r="AC5" s="3">
        <v>61</v>
      </c>
      <c r="AD5" s="3">
        <v>40</v>
      </c>
      <c r="AE5" s="8">
        <v>93</v>
      </c>
      <c r="AF5" s="3">
        <v>54</v>
      </c>
      <c r="AG5" s="3">
        <v>30</v>
      </c>
      <c r="AH5" s="4">
        <v>60</v>
      </c>
      <c r="AI5" s="4">
        <v>45</v>
      </c>
      <c r="AJ5" s="4">
        <v>62</v>
      </c>
      <c r="AK5" s="5">
        <v>36</v>
      </c>
      <c r="AL5" s="5">
        <v>0</v>
      </c>
      <c r="AM5" s="5">
        <v>24</v>
      </c>
      <c r="AN5" s="5">
        <v>48</v>
      </c>
      <c r="AO5" s="5">
        <v>61</v>
      </c>
      <c r="AP5" s="5">
        <v>61</v>
      </c>
      <c r="AQ5" s="5">
        <v>24</v>
      </c>
      <c r="AR5" s="6">
        <v>52</v>
      </c>
      <c r="AS5" s="6">
        <v>0</v>
      </c>
      <c r="AT5" s="6">
        <v>12</v>
      </c>
      <c r="AU5" s="7">
        <v>700</v>
      </c>
      <c r="AV5">
        <v>13</v>
      </c>
      <c r="AW5">
        <v>19</v>
      </c>
      <c r="AX5">
        <v>23</v>
      </c>
      <c r="AY5">
        <f t="shared" ref="AY5:AY32" si="0">SUM(AV5:AX5)</f>
        <v>55</v>
      </c>
      <c r="AZ5">
        <v>29</v>
      </c>
      <c r="BA5">
        <v>27.99</v>
      </c>
      <c r="BB5">
        <v>3</v>
      </c>
      <c r="BC5">
        <v>3</v>
      </c>
      <c r="BD5">
        <v>3</v>
      </c>
      <c r="BE5">
        <v>3</v>
      </c>
      <c r="BF5">
        <v>3</v>
      </c>
      <c r="BG5">
        <v>3</v>
      </c>
      <c r="BH5">
        <v>18</v>
      </c>
      <c r="BI5">
        <v>17.899999999999999</v>
      </c>
      <c r="BJ5">
        <v>4</v>
      </c>
      <c r="BK5" t="s">
        <v>87</v>
      </c>
      <c r="BL5">
        <v>0.71</v>
      </c>
      <c r="BM5">
        <v>0.26</v>
      </c>
    </row>
    <row r="6" spans="1:69">
      <c r="A6" s="12" t="s">
        <v>61</v>
      </c>
      <c r="B6">
        <v>79</v>
      </c>
      <c r="C6">
        <v>13</v>
      </c>
      <c r="D6" t="s">
        <v>107</v>
      </c>
      <c r="E6">
        <v>76</v>
      </c>
      <c r="F6" t="s">
        <v>165</v>
      </c>
      <c r="G6" t="s">
        <v>166</v>
      </c>
      <c r="H6" t="s">
        <v>167</v>
      </c>
      <c r="I6" t="s">
        <v>166</v>
      </c>
      <c r="J6">
        <v>300</v>
      </c>
      <c r="K6">
        <v>2.1</v>
      </c>
      <c r="N6">
        <v>1</v>
      </c>
      <c r="O6">
        <v>9</v>
      </c>
      <c r="P6">
        <v>510</v>
      </c>
      <c r="Q6">
        <v>17</v>
      </c>
      <c r="R6">
        <v>14</v>
      </c>
      <c r="S6">
        <v>17</v>
      </c>
      <c r="T6" s="2">
        <v>39</v>
      </c>
      <c r="U6" s="2">
        <v>80</v>
      </c>
      <c r="V6" s="2">
        <v>45</v>
      </c>
      <c r="W6" s="3">
        <v>42</v>
      </c>
      <c r="X6" s="3">
        <v>33</v>
      </c>
      <c r="Y6" s="3">
        <v>16</v>
      </c>
      <c r="Z6" s="3">
        <v>50</v>
      </c>
      <c r="AA6" s="3">
        <v>60</v>
      </c>
      <c r="AB6" s="3">
        <v>55</v>
      </c>
      <c r="AC6" s="3">
        <v>8</v>
      </c>
      <c r="AD6" s="3">
        <v>20</v>
      </c>
      <c r="AE6" s="8">
        <v>93</v>
      </c>
      <c r="AF6" s="3">
        <v>36</v>
      </c>
      <c r="AG6" s="3">
        <v>0</v>
      </c>
      <c r="AH6" s="4">
        <v>59</v>
      </c>
      <c r="AI6" s="4">
        <v>7</v>
      </c>
      <c r="AJ6" s="4">
        <v>36</v>
      </c>
      <c r="AK6" s="5">
        <v>80</v>
      </c>
      <c r="AL6" s="5">
        <v>62</v>
      </c>
      <c r="AM6" s="5">
        <v>62</v>
      </c>
      <c r="AN6" s="5">
        <v>20</v>
      </c>
      <c r="AO6" s="5">
        <v>45</v>
      </c>
      <c r="AP6" s="5">
        <v>0</v>
      </c>
      <c r="AQ6" s="5">
        <v>60</v>
      </c>
      <c r="AR6" s="6">
        <v>40</v>
      </c>
      <c r="AS6" s="6">
        <v>12</v>
      </c>
      <c r="AT6" s="6">
        <v>20</v>
      </c>
      <c r="AU6" s="7">
        <v>700</v>
      </c>
      <c r="AV6">
        <v>16</v>
      </c>
      <c r="AW6">
        <v>22</v>
      </c>
      <c r="AX6" s="1">
        <v>32</v>
      </c>
      <c r="AY6" s="1">
        <f t="shared" si="0"/>
        <v>70</v>
      </c>
      <c r="AZ6">
        <v>27</v>
      </c>
      <c r="BA6">
        <v>26</v>
      </c>
      <c r="BB6">
        <v>2</v>
      </c>
      <c r="BC6">
        <v>3</v>
      </c>
      <c r="BD6">
        <v>3</v>
      </c>
      <c r="BE6">
        <v>0</v>
      </c>
      <c r="BF6">
        <v>0</v>
      </c>
      <c r="BG6">
        <v>3</v>
      </c>
      <c r="BH6">
        <v>11</v>
      </c>
      <c r="BI6">
        <v>11.9</v>
      </c>
      <c r="BJ6" s="1">
        <v>0</v>
      </c>
      <c r="BK6" s="1" t="s">
        <v>61</v>
      </c>
      <c r="BL6">
        <v>9.02</v>
      </c>
      <c r="BM6">
        <v>2.1</v>
      </c>
    </row>
    <row r="7" spans="1:69">
      <c r="A7" s="13" t="s">
        <v>62</v>
      </c>
      <c r="B7">
        <v>72</v>
      </c>
      <c r="C7">
        <v>8</v>
      </c>
      <c r="D7" t="s">
        <v>107</v>
      </c>
      <c r="E7">
        <v>80</v>
      </c>
      <c r="F7" s="25"/>
      <c r="G7" t="s">
        <v>167</v>
      </c>
      <c r="H7" t="s">
        <v>166</v>
      </c>
      <c r="I7" t="s">
        <v>166</v>
      </c>
      <c r="J7">
        <v>0</v>
      </c>
      <c r="L7">
        <v>4</v>
      </c>
      <c r="N7">
        <v>1</v>
      </c>
      <c r="O7">
        <v>11</v>
      </c>
      <c r="P7">
        <v>80</v>
      </c>
      <c r="Q7">
        <v>0.6</v>
      </c>
      <c r="R7">
        <v>0.3</v>
      </c>
      <c r="T7" s="2">
        <v>65</v>
      </c>
      <c r="U7" s="2">
        <v>59</v>
      </c>
      <c r="V7" s="2">
        <v>65</v>
      </c>
      <c r="W7" s="3">
        <v>68</v>
      </c>
      <c r="X7" s="3">
        <v>60</v>
      </c>
      <c r="Y7" s="3">
        <v>60</v>
      </c>
      <c r="Z7" s="8">
        <v>75</v>
      </c>
      <c r="AA7" s="3">
        <v>65</v>
      </c>
      <c r="AB7" s="3">
        <v>55</v>
      </c>
      <c r="AC7" s="3">
        <v>70</v>
      </c>
      <c r="AD7" s="3">
        <v>61</v>
      </c>
      <c r="AE7" s="3">
        <v>36</v>
      </c>
      <c r="AF7" s="8">
        <v>76</v>
      </c>
      <c r="AG7" s="3">
        <v>61</v>
      </c>
      <c r="AH7" s="4">
        <v>62</v>
      </c>
      <c r="AI7" s="4">
        <v>60</v>
      </c>
      <c r="AJ7" s="4">
        <v>69</v>
      </c>
      <c r="AK7" s="5">
        <v>40</v>
      </c>
      <c r="AL7" s="5">
        <v>70</v>
      </c>
      <c r="AM7" s="5">
        <v>62</v>
      </c>
      <c r="AN7" s="5">
        <v>60</v>
      </c>
      <c r="AO7" s="5">
        <v>64</v>
      </c>
      <c r="AP7" s="5">
        <v>71</v>
      </c>
      <c r="AQ7" s="5">
        <v>64</v>
      </c>
      <c r="AR7" s="6">
        <v>50</v>
      </c>
      <c r="AS7" s="6">
        <v>77</v>
      </c>
      <c r="AT7" s="6">
        <v>68</v>
      </c>
      <c r="AU7" s="7" t="s">
        <v>41</v>
      </c>
      <c r="AV7" s="6">
        <v>17</v>
      </c>
      <c r="AW7" s="6">
        <v>22</v>
      </c>
      <c r="AX7" s="6">
        <v>28</v>
      </c>
      <c r="AY7">
        <f t="shared" si="0"/>
        <v>67</v>
      </c>
      <c r="AZ7">
        <v>30</v>
      </c>
      <c r="BA7">
        <v>28.4</v>
      </c>
      <c r="BB7">
        <v>3</v>
      </c>
      <c r="BC7">
        <v>1</v>
      </c>
      <c r="BD7">
        <v>3</v>
      </c>
      <c r="BE7">
        <v>3</v>
      </c>
      <c r="BF7">
        <v>3</v>
      </c>
      <c r="BG7">
        <v>3</v>
      </c>
      <c r="BH7">
        <v>16</v>
      </c>
      <c r="BI7">
        <v>16.7</v>
      </c>
      <c r="BJ7">
        <v>4</v>
      </c>
      <c r="BK7" t="s">
        <v>62</v>
      </c>
      <c r="BN7">
        <v>11.12</v>
      </c>
      <c r="BO7">
        <v>4</v>
      </c>
    </row>
    <row r="8" spans="1:69">
      <c r="A8" s="13" t="s">
        <v>64</v>
      </c>
      <c r="B8">
        <v>66</v>
      </c>
      <c r="C8">
        <v>8</v>
      </c>
      <c r="D8" t="s">
        <v>106</v>
      </c>
      <c r="E8">
        <v>65</v>
      </c>
      <c r="F8" t="s">
        <v>165</v>
      </c>
      <c r="G8" t="s">
        <v>166</v>
      </c>
      <c r="H8" t="s">
        <v>166</v>
      </c>
      <c r="I8" t="s">
        <v>166</v>
      </c>
      <c r="J8">
        <v>600</v>
      </c>
      <c r="L8">
        <v>6</v>
      </c>
      <c r="N8">
        <v>3</v>
      </c>
      <c r="O8">
        <v>51</v>
      </c>
      <c r="P8">
        <v>720</v>
      </c>
      <c r="Q8">
        <v>4</v>
      </c>
      <c r="R8">
        <v>2</v>
      </c>
      <c r="S8">
        <v>3</v>
      </c>
      <c r="T8" s="2">
        <v>64</v>
      </c>
      <c r="U8" s="2">
        <v>65</v>
      </c>
      <c r="V8" s="2">
        <v>77</v>
      </c>
      <c r="W8" s="3">
        <v>65</v>
      </c>
      <c r="X8" s="3">
        <v>56</v>
      </c>
      <c r="Y8" s="3">
        <v>56</v>
      </c>
      <c r="Z8" s="3">
        <v>63</v>
      </c>
      <c r="AA8" s="3">
        <v>71</v>
      </c>
      <c r="AB8" s="3">
        <v>60</v>
      </c>
      <c r="AC8" s="3">
        <v>36</v>
      </c>
      <c r="AD8" s="3">
        <v>60</v>
      </c>
      <c r="AE8" s="8">
        <v>80</v>
      </c>
      <c r="AF8" s="3">
        <v>70</v>
      </c>
      <c r="AG8" s="3">
        <v>3</v>
      </c>
      <c r="AH8" s="4">
        <v>58</v>
      </c>
      <c r="AI8" s="4">
        <v>53</v>
      </c>
      <c r="AJ8" s="4">
        <v>68</v>
      </c>
      <c r="AK8" s="5">
        <v>99</v>
      </c>
      <c r="AL8" s="5">
        <v>95</v>
      </c>
      <c r="AM8" s="5">
        <v>67</v>
      </c>
      <c r="AN8" s="5">
        <v>90</v>
      </c>
      <c r="AO8" s="5">
        <v>40</v>
      </c>
      <c r="AP8" s="5">
        <v>60</v>
      </c>
      <c r="AQ8" s="5">
        <v>74</v>
      </c>
      <c r="AR8" s="6">
        <v>64</v>
      </c>
      <c r="AS8" s="6">
        <v>87</v>
      </c>
      <c r="AT8" s="6">
        <v>12</v>
      </c>
      <c r="AU8" s="7">
        <v>700</v>
      </c>
      <c r="AV8">
        <v>17</v>
      </c>
      <c r="AW8">
        <v>21</v>
      </c>
      <c r="AX8" s="1">
        <v>29</v>
      </c>
      <c r="AY8">
        <f t="shared" si="0"/>
        <v>67</v>
      </c>
      <c r="AZ8">
        <v>28</v>
      </c>
      <c r="BA8">
        <v>26</v>
      </c>
      <c r="BB8">
        <v>3</v>
      </c>
      <c r="BC8">
        <v>3</v>
      </c>
      <c r="BD8">
        <v>2</v>
      </c>
      <c r="BE8">
        <v>2</v>
      </c>
      <c r="BF8">
        <v>1</v>
      </c>
      <c r="BG8">
        <v>3</v>
      </c>
      <c r="BH8">
        <v>14</v>
      </c>
      <c r="BI8">
        <v>14.4</v>
      </c>
      <c r="BJ8">
        <v>2</v>
      </c>
      <c r="BK8" t="s">
        <v>64</v>
      </c>
      <c r="BN8">
        <v>2.5499999999999998</v>
      </c>
      <c r="BO8">
        <v>6</v>
      </c>
    </row>
    <row r="9" spans="1:69">
      <c r="A9" s="13" t="s">
        <v>65</v>
      </c>
      <c r="B9">
        <v>62</v>
      </c>
      <c r="C9">
        <v>8</v>
      </c>
      <c r="D9" t="s">
        <v>107</v>
      </c>
      <c r="E9">
        <v>80</v>
      </c>
      <c r="F9" t="s">
        <v>176</v>
      </c>
      <c r="G9" t="s">
        <v>166</v>
      </c>
      <c r="H9" t="s">
        <v>166</v>
      </c>
      <c r="I9" t="s">
        <v>166</v>
      </c>
      <c r="J9">
        <v>400</v>
      </c>
      <c r="L9">
        <v>6</v>
      </c>
      <c r="N9">
        <v>2</v>
      </c>
      <c r="O9">
        <v>31</v>
      </c>
      <c r="P9">
        <v>520</v>
      </c>
      <c r="Q9">
        <v>8</v>
      </c>
      <c r="R9">
        <v>5</v>
      </c>
      <c r="S9">
        <v>8</v>
      </c>
      <c r="T9" s="2">
        <v>81</v>
      </c>
      <c r="U9" s="2">
        <v>51</v>
      </c>
      <c r="V9" s="2">
        <v>71</v>
      </c>
      <c r="W9" s="3">
        <v>73</v>
      </c>
      <c r="X9" s="8">
        <v>90</v>
      </c>
      <c r="Y9" s="3">
        <v>63</v>
      </c>
      <c r="Z9" s="8">
        <v>78</v>
      </c>
      <c r="AA9" s="3">
        <v>20</v>
      </c>
      <c r="AB9" s="3">
        <v>48</v>
      </c>
      <c r="AC9" s="3">
        <v>74</v>
      </c>
      <c r="AD9" s="3">
        <v>57</v>
      </c>
      <c r="AE9" s="3">
        <v>73</v>
      </c>
      <c r="AF9" s="8">
        <v>75</v>
      </c>
      <c r="AG9" s="3">
        <v>50</v>
      </c>
      <c r="AH9" s="4">
        <v>66</v>
      </c>
      <c r="AI9" s="4">
        <v>51</v>
      </c>
      <c r="AJ9" s="4">
        <v>81</v>
      </c>
      <c r="AK9" s="5">
        <v>101</v>
      </c>
      <c r="AL9" s="5">
        <v>68</v>
      </c>
      <c r="AM9" s="5">
        <v>60</v>
      </c>
      <c r="AN9" s="5">
        <v>71</v>
      </c>
      <c r="AO9" s="5">
        <v>64</v>
      </c>
      <c r="AP9" s="5">
        <v>60</v>
      </c>
      <c r="AQ9" s="5">
        <v>65</v>
      </c>
      <c r="AR9" s="6">
        <v>58</v>
      </c>
      <c r="AS9" s="6">
        <v>56</v>
      </c>
      <c r="AT9" s="6">
        <v>68</v>
      </c>
      <c r="AU9" s="7" t="s">
        <v>66</v>
      </c>
      <c r="AV9">
        <v>14</v>
      </c>
      <c r="AW9">
        <v>21</v>
      </c>
      <c r="AX9">
        <v>24</v>
      </c>
      <c r="AY9">
        <f t="shared" si="0"/>
        <v>59</v>
      </c>
      <c r="AZ9">
        <v>28</v>
      </c>
      <c r="BA9">
        <v>28.53</v>
      </c>
      <c r="BB9">
        <v>3</v>
      </c>
      <c r="BC9">
        <v>2</v>
      </c>
      <c r="BD9">
        <v>3</v>
      </c>
      <c r="BE9">
        <v>2</v>
      </c>
      <c r="BF9">
        <v>1</v>
      </c>
      <c r="BG9">
        <v>3</v>
      </c>
      <c r="BH9">
        <v>14</v>
      </c>
      <c r="BI9">
        <v>14.3</v>
      </c>
      <c r="BJ9">
        <v>1</v>
      </c>
      <c r="BK9" t="s">
        <v>65</v>
      </c>
      <c r="BN9">
        <v>7.22</v>
      </c>
      <c r="BO9">
        <v>6</v>
      </c>
    </row>
    <row r="10" spans="1:69">
      <c r="A10" s="12" t="s">
        <v>67</v>
      </c>
      <c r="B10">
        <v>74</v>
      </c>
      <c r="C10">
        <v>13</v>
      </c>
      <c r="D10" t="s">
        <v>106</v>
      </c>
      <c r="E10">
        <v>65</v>
      </c>
      <c r="F10" t="s">
        <v>165</v>
      </c>
      <c r="G10" t="s">
        <v>166</v>
      </c>
      <c r="H10" t="s">
        <v>166</v>
      </c>
      <c r="I10" t="s">
        <v>166</v>
      </c>
      <c r="J10">
        <v>300</v>
      </c>
      <c r="K10">
        <v>1.05</v>
      </c>
      <c r="N10">
        <v>3</v>
      </c>
      <c r="O10">
        <v>51</v>
      </c>
      <c r="P10">
        <v>405</v>
      </c>
      <c r="Q10">
        <v>8</v>
      </c>
      <c r="R10">
        <v>7</v>
      </c>
      <c r="S10">
        <v>7</v>
      </c>
      <c r="T10" s="2">
        <v>59</v>
      </c>
      <c r="U10" s="2">
        <v>84</v>
      </c>
      <c r="V10" s="2">
        <v>64</v>
      </c>
      <c r="W10" s="3">
        <v>50</v>
      </c>
      <c r="X10" s="3">
        <v>41</v>
      </c>
      <c r="Y10" s="3">
        <v>32</v>
      </c>
      <c r="Z10" s="3">
        <v>63</v>
      </c>
      <c r="AA10" s="8">
        <v>93</v>
      </c>
      <c r="AB10" s="3">
        <v>69</v>
      </c>
      <c r="AC10" s="3">
        <v>61</v>
      </c>
      <c r="AD10" s="3">
        <v>13</v>
      </c>
      <c r="AE10" s="8">
        <v>80</v>
      </c>
      <c r="AF10" s="3">
        <v>62</v>
      </c>
      <c r="AG10" s="3">
        <v>29</v>
      </c>
      <c r="AH10" s="4">
        <v>29</v>
      </c>
      <c r="AI10" s="4">
        <v>36</v>
      </c>
      <c r="AJ10" s="4">
        <v>48</v>
      </c>
      <c r="AK10" s="5">
        <v>24</v>
      </c>
      <c r="AL10" s="5">
        <v>90</v>
      </c>
      <c r="AM10" s="5">
        <v>69</v>
      </c>
      <c r="AN10" s="5">
        <v>80</v>
      </c>
      <c r="AO10" s="5">
        <v>63</v>
      </c>
      <c r="AP10" s="5">
        <v>60</v>
      </c>
      <c r="AQ10" s="5">
        <v>24</v>
      </c>
      <c r="AR10" s="6">
        <v>52</v>
      </c>
      <c r="AS10" s="6">
        <v>60</v>
      </c>
      <c r="AT10" s="6">
        <v>12</v>
      </c>
      <c r="AU10" s="7">
        <v>470</v>
      </c>
      <c r="AV10">
        <v>17</v>
      </c>
      <c r="AW10">
        <v>24</v>
      </c>
      <c r="AX10">
        <v>20</v>
      </c>
      <c r="AY10">
        <f t="shared" si="0"/>
        <v>61</v>
      </c>
      <c r="AZ10">
        <v>29</v>
      </c>
      <c r="BA10">
        <v>27.3</v>
      </c>
      <c r="BB10">
        <v>3</v>
      </c>
      <c r="BC10">
        <v>1</v>
      </c>
      <c r="BD10">
        <v>3</v>
      </c>
      <c r="BE10">
        <v>3</v>
      </c>
      <c r="BF10">
        <v>3</v>
      </c>
      <c r="BG10">
        <v>3</v>
      </c>
      <c r="BH10">
        <v>16</v>
      </c>
      <c r="BI10">
        <v>16.2</v>
      </c>
      <c r="BJ10">
        <v>3</v>
      </c>
      <c r="BK10" t="s">
        <v>67</v>
      </c>
      <c r="BL10">
        <v>2.86</v>
      </c>
      <c r="BM10">
        <v>1.05</v>
      </c>
    </row>
    <row r="11" spans="1:69">
      <c r="A11" s="12" t="s">
        <v>68</v>
      </c>
      <c r="B11">
        <v>60</v>
      </c>
      <c r="C11">
        <v>13</v>
      </c>
      <c r="D11" t="s">
        <v>107</v>
      </c>
      <c r="E11">
        <v>88</v>
      </c>
      <c r="F11" t="s">
        <v>165</v>
      </c>
      <c r="G11" t="s">
        <v>167</v>
      </c>
      <c r="H11" t="s">
        <v>167</v>
      </c>
      <c r="I11" t="s">
        <v>166</v>
      </c>
      <c r="J11">
        <v>100</v>
      </c>
      <c r="K11">
        <v>0.52</v>
      </c>
      <c r="N11">
        <v>2</v>
      </c>
      <c r="O11">
        <v>26</v>
      </c>
      <c r="P11">
        <v>152</v>
      </c>
      <c r="Q11">
        <v>2</v>
      </c>
      <c r="R11">
        <v>2</v>
      </c>
      <c r="S11">
        <v>2</v>
      </c>
      <c r="T11" s="18">
        <v>31</v>
      </c>
      <c r="U11" s="2">
        <v>24</v>
      </c>
      <c r="V11" s="2">
        <v>0</v>
      </c>
      <c r="W11" s="3">
        <v>66</v>
      </c>
      <c r="X11" s="3">
        <v>12</v>
      </c>
      <c r="Y11" s="3">
        <v>4</v>
      </c>
      <c r="Z11" s="3">
        <v>14</v>
      </c>
      <c r="AA11" s="3">
        <v>69</v>
      </c>
      <c r="AB11" s="8">
        <v>79</v>
      </c>
      <c r="AC11" s="3">
        <v>29</v>
      </c>
      <c r="AD11" s="3">
        <v>10</v>
      </c>
      <c r="AE11" s="8">
        <v>87</v>
      </c>
      <c r="AF11" s="3">
        <v>4</v>
      </c>
      <c r="AG11" s="3">
        <v>4</v>
      </c>
      <c r="AH11" s="4">
        <v>3</v>
      </c>
      <c r="AI11" s="4">
        <v>3</v>
      </c>
      <c r="AJ11" s="4">
        <v>3</v>
      </c>
      <c r="AK11" s="5">
        <v>3</v>
      </c>
      <c r="AL11" s="5">
        <v>3</v>
      </c>
      <c r="AM11" s="5">
        <v>15</v>
      </c>
      <c r="AN11" s="5">
        <v>3</v>
      </c>
      <c r="AO11" s="5">
        <v>3</v>
      </c>
      <c r="AP11" s="5">
        <v>43</v>
      </c>
      <c r="AQ11" s="5">
        <v>3</v>
      </c>
      <c r="AR11" s="6">
        <v>3</v>
      </c>
      <c r="AS11" s="6">
        <v>3</v>
      </c>
      <c r="AT11" s="6">
        <v>23</v>
      </c>
      <c r="AU11" s="7">
        <v>750</v>
      </c>
      <c r="AV11">
        <v>16</v>
      </c>
      <c r="AW11">
        <v>18</v>
      </c>
      <c r="AX11">
        <v>25</v>
      </c>
      <c r="AY11">
        <f t="shared" si="0"/>
        <v>59</v>
      </c>
      <c r="AZ11">
        <v>28</v>
      </c>
      <c r="BA11">
        <v>27.49</v>
      </c>
      <c r="BB11">
        <v>3</v>
      </c>
      <c r="BC11">
        <v>3</v>
      </c>
      <c r="BD11">
        <v>3</v>
      </c>
      <c r="BE11">
        <v>3</v>
      </c>
      <c r="BF11">
        <v>1</v>
      </c>
      <c r="BG11">
        <v>3</v>
      </c>
      <c r="BH11">
        <v>16</v>
      </c>
      <c r="BI11">
        <v>15.5</v>
      </c>
      <c r="BJ11">
        <v>3</v>
      </c>
      <c r="BK11" t="s">
        <v>68</v>
      </c>
      <c r="BL11">
        <v>1.93</v>
      </c>
      <c r="BM11">
        <v>0.52</v>
      </c>
    </row>
    <row r="12" spans="1:69">
      <c r="A12" s="12" t="s">
        <v>69</v>
      </c>
      <c r="B12">
        <v>71</v>
      </c>
      <c r="C12">
        <v>13</v>
      </c>
      <c r="D12" t="s">
        <v>107</v>
      </c>
      <c r="E12">
        <v>70</v>
      </c>
      <c r="F12" t="s">
        <v>165</v>
      </c>
      <c r="G12" t="s">
        <v>166</v>
      </c>
      <c r="H12" t="s">
        <v>167</v>
      </c>
      <c r="I12" t="s">
        <v>166</v>
      </c>
      <c r="J12">
        <v>1050</v>
      </c>
      <c r="K12">
        <v>2.1</v>
      </c>
      <c r="N12">
        <v>2</v>
      </c>
      <c r="O12">
        <v>46</v>
      </c>
      <c r="P12">
        <v>1260</v>
      </c>
      <c r="Q12">
        <v>9</v>
      </c>
      <c r="R12">
        <v>7</v>
      </c>
      <c r="S12">
        <v>8</v>
      </c>
      <c r="T12" s="2">
        <v>42</v>
      </c>
      <c r="U12" s="2">
        <v>89</v>
      </c>
      <c r="V12" s="2">
        <v>42</v>
      </c>
      <c r="W12" s="3">
        <v>17</v>
      </c>
      <c r="X12" s="3">
        <v>42</v>
      </c>
      <c r="Y12" s="3">
        <v>0</v>
      </c>
      <c r="Z12" s="3">
        <v>0</v>
      </c>
      <c r="AA12" s="8">
        <v>81</v>
      </c>
      <c r="AB12" s="3">
        <v>71</v>
      </c>
      <c r="AC12" s="3">
        <v>42</v>
      </c>
      <c r="AD12" s="3">
        <v>6</v>
      </c>
      <c r="AE12" s="8">
        <v>98</v>
      </c>
      <c r="AF12" s="3">
        <v>24</v>
      </c>
      <c r="AG12" s="3">
        <v>0</v>
      </c>
      <c r="AH12" s="4">
        <v>0</v>
      </c>
      <c r="AI12" s="4">
        <v>0</v>
      </c>
      <c r="AJ12" s="4">
        <v>24</v>
      </c>
      <c r="AK12" s="5">
        <v>40</v>
      </c>
      <c r="AL12" s="5">
        <v>62</v>
      </c>
      <c r="AM12" s="5">
        <v>12</v>
      </c>
      <c r="AN12" s="5">
        <v>0</v>
      </c>
      <c r="AO12" s="5">
        <v>15</v>
      </c>
      <c r="AP12" s="5">
        <v>60</v>
      </c>
      <c r="AQ12" s="5">
        <v>0</v>
      </c>
      <c r="AR12" s="6">
        <v>0</v>
      </c>
      <c r="AS12" s="6">
        <v>36</v>
      </c>
      <c r="AT12" s="6">
        <v>20</v>
      </c>
      <c r="AU12" s="7">
        <v>740</v>
      </c>
      <c r="AV12">
        <v>14</v>
      </c>
      <c r="AW12">
        <v>18</v>
      </c>
      <c r="AX12">
        <v>25</v>
      </c>
      <c r="AY12">
        <f t="shared" si="0"/>
        <v>57</v>
      </c>
      <c r="AZ12">
        <v>26</v>
      </c>
      <c r="BA12">
        <v>24.4</v>
      </c>
      <c r="BB12">
        <v>3</v>
      </c>
      <c r="BC12">
        <v>2</v>
      </c>
      <c r="BD12">
        <v>2</v>
      </c>
      <c r="BE12">
        <v>3</v>
      </c>
      <c r="BF12">
        <v>1</v>
      </c>
      <c r="BG12">
        <v>3</v>
      </c>
      <c r="BH12">
        <v>14</v>
      </c>
      <c r="BI12">
        <v>14.7</v>
      </c>
      <c r="BJ12">
        <v>2</v>
      </c>
      <c r="BK12" t="s">
        <v>69</v>
      </c>
      <c r="BL12">
        <v>19.399999999999999</v>
      </c>
      <c r="BM12">
        <v>2.1</v>
      </c>
    </row>
    <row r="13" spans="1:69">
      <c r="A13" s="12" t="s">
        <v>92</v>
      </c>
      <c r="B13">
        <v>73</v>
      </c>
      <c r="C13">
        <v>10</v>
      </c>
      <c r="D13" t="s">
        <v>106</v>
      </c>
      <c r="E13">
        <v>75</v>
      </c>
      <c r="F13" t="s">
        <v>165</v>
      </c>
      <c r="G13" t="s">
        <v>166</v>
      </c>
      <c r="H13" t="s">
        <v>167</v>
      </c>
      <c r="I13" t="s">
        <v>166</v>
      </c>
      <c r="J13">
        <v>800</v>
      </c>
      <c r="K13">
        <v>2.1</v>
      </c>
      <c r="N13">
        <v>4</v>
      </c>
      <c r="O13">
        <v>33</v>
      </c>
      <c r="P13">
        <v>1010</v>
      </c>
      <c r="Q13">
        <v>16</v>
      </c>
      <c r="R13">
        <v>15</v>
      </c>
      <c r="S13">
        <v>14</v>
      </c>
      <c r="T13" s="2">
        <v>77</v>
      </c>
      <c r="U13" s="2">
        <v>80</v>
      </c>
      <c r="V13" s="2">
        <v>77</v>
      </c>
      <c r="W13" s="8">
        <v>75</v>
      </c>
      <c r="X13" s="3">
        <v>69</v>
      </c>
      <c r="Y13" s="3">
        <v>46</v>
      </c>
      <c r="Z13" s="8">
        <v>78</v>
      </c>
      <c r="AA13" s="3">
        <v>68</v>
      </c>
      <c r="AB13" s="3">
        <v>72</v>
      </c>
      <c r="AC13" s="3">
        <v>58</v>
      </c>
      <c r="AD13" s="3">
        <v>62</v>
      </c>
      <c r="AE13" s="3">
        <v>66</v>
      </c>
      <c r="AF13" s="3">
        <v>63</v>
      </c>
      <c r="AG13" s="3">
        <v>55</v>
      </c>
      <c r="AH13" s="4">
        <v>56</v>
      </c>
      <c r="AI13" s="4">
        <v>39</v>
      </c>
      <c r="AJ13" s="4">
        <v>68</v>
      </c>
      <c r="AK13" s="5">
        <v>86</v>
      </c>
      <c r="AL13" s="5">
        <v>93</v>
      </c>
      <c r="AM13" s="5">
        <v>46</v>
      </c>
      <c r="AN13" s="5">
        <v>88</v>
      </c>
      <c r="AO13" s="5">
        <v>0</v>
      </c>
      <c r="AP13" s="5">
        <v>61</v>
      </c>
      <c r="AQ13" s="5">
        <v>64</v>
      </c>
      <c r="AR13" s="6">
        <v>62</v>
      </c>
      <c r="AS13" s="6">
        <v>89</v>
      </c>
      <c r="AT13" s="6">
        <v>61</v>
      </c>
      <c r="AU13" s="7" t="s">
        <v>70</v>
      </c>
      <c r="AV13">
        <v>19</v>
      </c>
      <c r="AW13">
        <v>20</v>
      </c>
      <c r="AX13" s="1">
        <v>30</v>
      </c>
      <c r="AY13">
        <f t="shared" si="0"/>
        <v>69</v>
      </c>
      <c r="AZ13">
        <v>30</v>
      </c>
      <c r="BA13">
        <v>28.4</v>
      </c>
      <c r="BB13">
        <v>3</v>
      </c>
      <c r="BC13">
        <v>3</v>
      </c>
      <c r="BD13">
        <v>3</v>
      </c>
      <c r="BE13">
        <v>3</v>
      </c>
      <c r="BF13">
        <v>1</v>
      </c>
      <c r="BG13">
        <v>3</v>
      </c>
      <c r="BH13">
        <v>16</v>
      </c>
      <c r="BI13">
        <v>16.7</v>
      </c>
      <c r="BJ13">
        <v>4</v>
      </c>
      <c r="BK13" t="s">
        <v>92</v>
      </c>
      <c r="BL13">
        <v>7.64</v>
      </c>
      <c r="BM13">
        <v>2.1</v>
      </c>
    </row>
    <row r="14" spans="1:69">
      <c r="A14" s="12" t="s">
        <v>71</v>
      </c>
      <c r="B14">
        <v>65</v>
      </c>
      <c r="C14">
        <v>17</v>
      </c>
      <c r="D14" t="s">
        <v>106</v>
      </c>
      <c r="E14">
        <v>48</v>
      </c>
      <c r="F14" t="s">
        <v>165</v>
      </c>
      <c r="G14" t="s">
        <v>167</v>
      </c>
      <c r="H14" t="s">
        <v>167</v>
      </c>
      <c r="I14" t="s">
        <v>166</v>
      </c>
      <c r="J14">
        <v>500</v>
      </c>
      <c r="K14">
        <v>0.54</v>
      </c>
      <c r="N14">
        <v>2</v>
      </c>
      <c r="O14">
        <v>6</v>
      </c>
      <c r="P14">
        <v>554</v>
      </c>
      <c r="Q14">
        <v>7</v>
      </c>
      <c r="R14">
        <v>5</v>
      </c>
      <c r="S14">
        <v>5</v>
      </c>
      <c r="T14" s="2">
        <v>35</v>
      </c>
      <c r="U14" s="2">
        <v>74</v>
      </c>
      <c r="V14" s="2">
        <v>0</v>
      </c>
      <c r="W14" s="3">
        <v>62</v>
      </c>
      <c r="X14" s="3">
        <v>9</v>
      </c>
      <c r="Y14" s="3">
        <v>1</v>
      </c>
      <c r="Z14" s="3">
        <v>1</v>
      </c>
      <c r="AA14" s="3">
        <v>68</v>
      </c>
      <c r="AB14" s="3">
        <v>67</v>
      </c>
      <c r="AC14" s="3">
        <v>13</v>
      </c>
      <c r="AD14" s="3">
        <v>54</v>
      </c>
      <c r="AE14" s="8">
        <v>81</v>
      </c>
      <c r="AF14" s="3">
        <v>13</v>
      </c>
      <c r="AG14" s="3">
        <v>1</v>
      </c>
      <c r="AH14" s="4">
        <v>1</v>
      </c>
      <c r="AI14" s="4">
        <v>1</v>
      </c>
      <c r="AJ14" s="4">
        <v>25</v>
      </c>
      <c r="AK14" s="5">
        <v>1</v>
      </c>
      <c r="AL14" s="5">
        <v>1</v>
      </c>
      <c r="AM14" s="5">
        <v>13</v>
      </c>
      <c r="AN14" s="5">
        <v>1</v>
      </c>
      <c r="AO14" s="5">
        <v>21</v>
      </c>
      <c r="AP14" s="5">
        <v>1</v>
      </c>
      <c r="AQ14" s="5">
        <v>25</v>
      </c>
      <c r="AR14" s="6">
        <v>1</v>
      </c>
      <c r="AS14" s="6">
        <v>1</v>
      </c>
      <c r="AT14" s="6">
        <v>1</v>
      </c>
      <c r="AU14" s="7">
        <v>700</v>
      </c>
      <c r="AV14">
        <v>15</v>
      </c>
      <c r="AW14">
        <v>19</v>
      </c>
      <c r="AX14" s="1">
        <v>30</v>
      </c>
      <c r="AY14">
        <f t="shared" si="0"/>
        <v>64</v>
      </c>
      <c r="AZ14">
        <v>29</v>
      </c>
      <c r="BA14">
        <v>26.2</v>
      </c>
      <c r="BB14">
        <v>3</v>
      </c>
      <c r="BC14">
        <v>3</v>
      </c>
      <c r="BD14">
        <v>3</v>
      </c>
      <c r="BE14">
        <v>3</v>
      </c>
      <c r="BF14">
        <v>3</v>
      </c>
      <c r="BG14">
        <v>3</v>
      </c>
      <c r="BH14">
        <v>18</v>
      </c>
      <c r="BI14">
        <v>17.7</v>
      </c>
      <c r="BJ14">
        <v>4</v>
      </c>
      <c r="BK14" t="s">
        <v>71</v>
      </c>
      <c r="BL14">
        <v>0.74</v>
      </c>
      <c r="BM14">
        <v>0.54</v>
      </c>
    </row>
    <row r="15" spans="1:69">
      <c r="A15" s="12" t="s">
        <v>72</v>
      </c>
      <c r="B15">
        <v>66</v>
      </c>
      <c r="C15">
        <v>8</v>
      </c>
      <c r="D15" t="s">
        <v>107</v>
      </c>
      <c r="E15">
        <v>69</v>
      </c>
      <c r="F15" t="s">
        <v>165</v>
      </c>
      <c r="G15" t="s">
        <v>166</v>
      </c>
      <c r="H15" t="s">
        <v>166</v>
      </c>
      <c r="I15" t="s">
        <v>167</v>
      </c>
      <c r="J15">
        <v>350</v>
      </c>
      <c r="K15">
        <v>1.4</v>
      </c>
      <c r="N15">
        <v>1</v>
      </c>
      <c r="O15">
        <v>4</v>
      </c>
      <c r="P15">
        <v>490</v>
      </c>
      <c r="Q15">
        <v>11</v>
      </c>
      <c r="R15">
        <v>5</v>
      </c>
      <c r="S15">
        <v>11</v>
      </c>
      <c r="T15" s="18">
        <v>31</v>
      </c>
      <c r="U15" s="2">
        <v>65</v>
      </c>
      <c r="V15" s="2">
        <v>0</v>
      </c>
      <c r="W15" s="3">
        <v>67</v>
      </c>
      <c r="X15" s="3">
        <v>28</v>
      </c>
      <c r="Y15" s="3">
        <v>3</v>
      </c>
      <c r="Z15" s="3">
        <v>3</v>
      </c>
      <c r="AA15" s="3">
        <v>49</v>
      </c>
      <c r="AB15" s="3">
        <v>70</v>
      </c>
      <c r="AC15" s="3">
        <v>11</v>
      </c>
      <c r="AD15" s="3">
        <v>29</v>
      </c>
      <c r="AE15" s="8">
        <v>91</v>
      </c>
      <c r="AF15" s="3">
        <v>21</v>
      </c>
      <c r="AG15" s="3">
        <v>3</v>
      </c>
      <c r="AH15" s="4">
        <v>62</v>
      </c>
      <c r="AI15" s="4">
        <v>2</v>
      </c>
      <c r="AJ15" s="4">
        <v>50</v>
      </c>
      <c r="AK15" s="5">
        <v>2</v>
      </c>
      <c r="AL15" s="5">
        <v>2</v>
      </c>
      <c r="AM15" s="5">
        <v>14</v>
      </c>
      <c r="AN15" s="5">
        <v>2</v>
      </c>
      <c r="AO15" s="5">
        <v>2</v>
      </c>
      <c r="AP15" s="5">
        <v>22</v>
      </c>
      <c r="AQ15" s="5">
        <v>2</v>
      </c>
      <c r="AR15" s="6">
        <v>2</v>
      </c>
      <c r="AS15" s="6">
        <v>2</v>
      </c>
      <c r="AT15" s="6">
        <v>42</v>
      </c>
      <c r="AU15" s="7">
        <v>700</v>
      </c>
      <c r="AV15">
        <v>11</v>
      </c>
      <c r="AW15">
        <v>18</v>
      </c>
      <c r="AX15">
        <v>21</v>
      </c>
      <c r="AY15">
        <f t="shared" si="0"/>
        <v>50</v>
      </c>
      <c r="AZ15">
        <v>30</v>
      </c>
      <c r="BA15">
        <v>28</v>
      </c>
      <c r="BB15">
        <v>3</v>
      </c>
      <c r="BC15">
        <v>3</v>
      </c>
      <c r="BD15">
        <v>3</v>
      </c>
      <c r="BE15">
        <v>2</v>
      </c>
      <c r="BF15">
        <v>2</v>
      </c>
      <c r="BG15">
        <v>3</v>
      </c>
      <c r="BH15">
        <v>16</v>
      </c>
      <c r="BI15">
        <v>16.399999999999999</v>
      </c>
      <c r="BJ15">
        <v>3</v>
      </c>
      <c r="BK15" t="s">
        <v>72</v>
      </c>
      <c r="BL15">
        <v>2.54</v>
      </c>
      <c r="BM15">
        <v>1.4</v>
      </c>
    </row>
    <row r="16" spans="1:69">
      <c r="A16" s="14" t="s">
        <v>75</v>
      </c>
      <c r="B16">
        <v>67</v>
      </c>
      <c r="C16">
        <v>13</v>
      </c>
      <c r="D16" t="s">
        <v>107</v>
      </c>
      <c r="E16">
        <v>75</v>
      </c>
      <c r="F16" t="s">
        <v>165</v>
      </c>
      <c r="G16" t="s">
        <v>166</v>
      </c>
      <c r="H16" t="s">
        <v>166</v>
      </c>
      <c r="I16" t="s">
        <v>166</v>
      </c>
      <c r="J16">
        <v>300</v>
      </c>
      <c r="M16">
        <v>4</v>
      </c>
      <c r="N16">
        <v>2</v>
      </c>
      <c r="O16">
        <v>22</v>
      </c>
      <c r="P16">
        <v>421</v>
      </c>
      <c r="Q16">
        <v>12</v>
      </c>
      <c r="R16">
        <v>2</v>
      </c>
      <c r="S16">
        <v>12</v>
      </c>
      <c r="T16" s="18">
        <v>11</v>
      </c>
      <c r="U16" s="2">
        <v>59</v>
      </c>
      <c r="V16" s="2">
        <v>34</v>
      </c>
      <c r="W16" s="3">
        <v>74</v>
      </c>
      <c r="X16" s="3">
        <v>46</v>
      </c>
      <c r="Y16" s="3">
        <v>12</v>
      </c>
      <c r="Z16" s="3">
        <v>22</v>
      </c>
      <c r="AA16" s="3">
        <v>58</v>
      </c>
      <c r="AB16" s="3">
        <v>67</v>
      </c>
      <c r="AC16" s="3">
        <v>12</v>
      </c>
      <c r="AD16" s="3">
        <v>12</v>
      </c>
      <c r="AE16" s="8">
        <v>90</v>
      </c>
      <c r="AF16" s="3">
        <v>12</v>
      </c>
      <c r="AG16" s="3">
        <v>12</v>
      </c>
      <c r="AH16" s="4">
        <v>7</v>
      </c>
      <c r="AI16" s="4">
        <v>7</v>
      </c>
      <c r="AJ16" s="4">
        <v>7</v>
      </c>
      <c r="AK16" s="5">
        <v>7</v>
      </c>
      <c r="AL16" s="5">
        <v>7</v>
      </c>
      <c r="AM16" s="5">
        <v>7</v>
      </c>
      <c r="AN16" s="5">
        <v>27</v>
      </c>
      <c r="AO16" s="5">
        <v>7</v>
      </c>
      <c r="AP16" s="5">
        <v>7</v>
      </c>
      <c r="AQ16" s="5">
        <v>7</v>
      </c>
      <c r="AR16" s="6">
        <v>17</v>
      </c>
      <c r="AS16" s="6">
        <v>7</v>
      </c>
      <c r="AT16" s="6">
        <v>27</v>
      </c>
      <c r="AU16" s="7">
        <v>700</v>
      </c>
      <c r="AV16">
        <v>13</v>
      </c>
      <c r="AW16">
        <v>16</v>
      </c>
      <c r="AX16">
        <v>20</v>
      </c>
      <c r="AY16">
        <f t="shared" si="0"/>
        <v>49</v>
      </c>
      <c r="AZ16">
        <v>28</v>
      </c>
      <c r="BA16">
        <v>27.49</v>
      </c>
      <c r="BB16">
        <v>3</v>
      </c>
      <c r="BC16">
        <v>3</v>
      </c>
      <c r="BD16">
        <v>3</v>
      </c>
      <c r="BE16">
        <v>3</v>
      </c>
      <c r="BF16">
        <v>2</v>
      </c>
      <c r="BG16">
        <v>3</v>
      </c>
      <c r="BH16">
        <v>17</v>
      </c>
      <c r="BI16">
        <v>16.7</v>
      </c>
      <c r="BJ16">
        <v>4</v>
      </c>
      <c r="BK16" t="s">
        <v>75</v>
      </c>
      <c r="BP16">
        <v>0.25</v>
      </c>
      <c r="BQ16" s="33">
        <v>4</v>
      </c>
    </row>
    <row r="17" spans="1:69">
      <c r="A17" s="15" t="s">
        <v>76</v>
      </c>
      <c r="B17">
        <v>66</v>
      </c>
      <c r="C17">
        <v>8</v>
      </c>
      <c r="D17" t="s">
        <v>107</v>
      </c>
      <c r="E17">
        <v>70</v>
      </c>
      <c r="F17" t="s">
        <v>165</v>
      </c>
      <c r="G17" t="s">
        <v>166</v>
      </c>
      <c r="H17" t="s">
        <v>166</v>
      </c>
      <c r="I17" t="s">
        <v>167</v>
      </c>
      <c r="J17">
        <v>600</v>
      </c>
      <c r="M17">
        <v>8</v>
      </c>
      <c r="N17">
        <v>2</v>
      </c>
      <c r="O17">
        <v>34</v>
      </c>
      <c r="P17">
        <v>842</v>
      </c>
      <c r="Q17">
        <v>8</v>
      </c>
      <c r="R17">
        <v>8</v>
      </c>
      <c r="S17">
        <v>8</v>
      </c>
      <c r="T17" s="2">
        <v>66</v>
      </c>
      <c r="U17" s="2">
        <v>59</v>
      </c>
      <c r="V17" s="2">
        <v>64</v>
      </c>
      <c r="W17" s="3">
        <v>66</v>
      </c>
      <c r="X17" s="3">
        <v>67</v>
      </c>
      <c r="Y17" s="3">
        <v>54</v>
      </c>
      <c r="Z17" s="3">
        <v>63</v>
      </c>
      <c r="AA17" s="3">
        <v>41</v>
      </c>
      <c r="AB17" s="3">
        <v>71</v>
      </c>
      <c r="AC17" s="3">
        <v>42</v>
      </c>
      <c r="AD17" s="3">
        <v>63</v>
      </c>
      <c r="AE17" s="8">
        <v>108</v>
      </c>
      <c r="AF17" s="8">
        <v>79</v>
      </c>
      <c r="AG17" s="3">
        <v>24</v>
      </c>
      <c r="AH17" s="4">
        <v>61</v>
      </c>
      <c r="AI17" s="4">
        <v>36</v>
      </c>
      <c r="AJ17" s="4">
        <v>73</v>
      </c>
      <c r="AK17" s="5">
        <v>101</v>
      </c>
      <c r="AL17" s="5">
        <v>40</v>
      </c>
      <c r="AM17" s="5">
        <v>24</v>
      </c>
      <c r="AN17" s="5">
        <v>83</v>
      </c>
      <c r="AO17" s="5">
        <v>64</v>
      </c>
      <c r="AP17" s="5">
        <v>60</v>
      </c>
      <c r="AQ17" s="5">
        <v>68</v>
      </c>
      <c r="AR17" s="6">
        <v>62</v>
      </c>
      <c r="AS17" s="6">
        <v>36</v>
      </c>
      <c r="AT17" s="6">
        <v>78</v>
      </c>
      <c r="AU17" s="7" t="s">
        <v>44</v>
      </c>
      <c r="AV17">
        <v>18</v>
      </c>
      <c r="AW17">
        <v>18</v>
      </c>
      <c r="AX17">
        <v>23</v>
      </c>
      <c r="AY17">
        <f t="shared" si="0"/>
        <v>59</v>
      </c>
      <c r="AZ17">
        <v>27</v>
      </c>
      <c r="BA17">
        <v>27.6</v>
      </c>
      <c r="BB17">
        <v>3</v>
      </c>
      <c r="BC17">
        <v>2</v>
      </c>
      <c r="BD17">
        <v>2</v>
      </c>
      <c r="BE17">
        <v>2</v>
      </c>
      <c r="BF17">
        <v>0</v>
      </c>
      <c r="BG17">
        <v>3</v>
      </c>
      <c r="BH17">
        <v>12</v>
      </c>
      <c r="BI17">
        <v>12.46</v>
      </c>
      <c r="BJ17" s="1">
        <v>0</v>
      </c>
      <c r="BK17" s="1" t="s">
        <v>76</v>
      </c>
      <c r="BP17">
        <v>0.71</v>
      </c>
      <c r="BQ17" s="33">
        <v>8</v>
      </c>
    </row>
    <row r="18" spans="1:69">
      <c r="A18" s="12" t="s">
        <v>89</v>
      </c>
      <c r="B18">
        <v>63</v>
      </c>
      <c r="C18">
        <v>18</v>
      </c>
      <c r="D18" t="s">
        <v>107</v>
      </c>
      <c r="E18">
        <v>88</v>
      </c>
      <c r="F18" t="s">
        <v>165</v>
      </c>
      <c r="G18" t="s">
        <v>166</v>
      </c>
      <c r="H18" t="s">
        <v>166</v>
      </c>
      <c r="I18" t="s">
        <v>166</v>
      </c>
      <c r="J18">
        <v>200</v>
      </c>
      <c r="K18">
        <v>0.52</v>
      </c>
      <c r="N18">
        <v>2</v>
      </c>
      <c r="O18">
        <v>23</v>
      </c>
      <c r="P18" s="25"/>
      <c r="Q18">
        <v>3</v>
      </c>
      <c r="R18">
        <v>0.4</v>
      </c>
      <c r="S18">
        <v>1.5</v>
      </c>
      <c r="T18" s="18">
        <v>14</v>
      </c>
      <c r="U18" s="2">
        <v>74</v>
      </c>
      <c r="V18" s="2">
        <v>38</v>
      </c>
      <c r="W18" s="3">
        <v>35</v>
      </c>
      <c r="X18" s="3">
        <v>18</v>
      </c>
      <c r="Y18" s="3">
        <v>27</v>
      </c>
      <c r="Z18" s="3">
        <v>10</v>
      </c>
      <c r="AA18" s="8">
        <v>75</v>
      </c>
      <c r="AB18" s="8">
        <v>89</v>
      </c>
      <c r="AC18" s="3">
        <v>18</v>
      </c>
      <c r="AD18" s="3">
        <v>10</v>
      </c>
      <c r="AE18" s="8">
        <v>80</v>
      </c>
      <c r="AF18" s="3">
        <v>10</v>
      </c>
      <c r="AG18" s="3">
        <v>10</v>
      </c>
      <c r="AH18" s="4">
        <v>6</v>
      </c>
      <c r="AI18" s="4">
        <v>6</v>
      </c>
      <c r="AJ18" s="4">
        <v>6</v>
      </c>
      <c r="AK18" s="5">
        <v>26</v>
      </c>
      <c r="AL18" s="5">
        <v>46</v>
      </c>
      <c r="AM18" s="5">
        <v>18</v>
      </c>
      <c r="AN18" s="5">
        <v>6</v>
      </c>
      <c r="AO18" s="5">
        <v>36</v>
      </c>
      <c r="AP18" s="5">
        <v>26</v>
      </c>
      <c r="AQ18" s="5">
        <v>6</v>
      </c>
      <c r="AR18" s="6">
        <v>6</v>
      </c>
      <c r="AS18" s="6">
        <v>30</v>
      </c>
      <c r="AT18" s="6">
        <v>26</v>
      </c>
      <c r="AU18" s="7">
        <v>750</v>
      </c>
      <c r="AV18">
        <v>12</v>
      </c>
      <c r="AW18">
        <v>16</v>
      </c>
      <c r="AX18">
        <v>23</v>
      </c>
      <c r="AY18">
        <f t="shared" si="0"/>
        <v>51</v>
      </c>
      <c r="AZ18">
        <v>29</v>
      </c>
      <c r="BA18">
        <v>27.46</v>
      </c>
      <c r="BB18">
        <v>3</v>
      </c>
      <c r="BC18">
        <v>2</v>
      </c>
      <c r="BD18">
        <v>3</v>
      </c>
      <c r="BE18">
        <v>3</v>
      </c>
      <c r="BF18">
        <v>3</v>
      </c>
      <c r="BG18">
        <v>3</v>
      </c>
      <c r="BH18">
        <v>17</v>
      </c>
      <c r="BI18">
        <v>16</v>
      </c>
      <c r="BJ18">
        <v>3</v>
      </c>
      <c r="BK18" t="s">
        <v>89</v>
      </c>
      <c r="BL18">
        <v>1.03</v>
      </c>
      <c r="BM18">
        <v>0.52</v>
      </c>
      <c r="BQ18" s="33"/>
    </row>
    <row r="19" spans="1:69">
      <c r="A19" s="13" t="s">
        <v>63</v>
      </c>
      <c r="B19">
        <v>47</v>
      </c>
      <c r="C19">
        <v>18</v>
      </c>
      <c r="D19" t="s">
        <v>106</v>
      </c>
      <c r="E19">
        <v>60</v>
      </c>
      <c r="F19" t="s">
        <v>165</v>
      </c>
      <c r="G19" t="s">
        <v>166</v>
      </c>
      <c r="H19" t="s">
        <v>167</v>
      </c>
      <c r="I19" t="s">
        <v>166</v>
      </c>
      <c r="J19">
        <v>200</v>
      </c>
      <c r="L19">
        <v>8</v>
      </c>
      <c r="N19">
        <v>1</v>
      </c>
      <c r="O19">
        <v>5</v>
      </c>
      <c r="P19">
        <v>360</v>
      </c>
      <c r="Q19">
        <v>3</v>
      </c>
      <c r="R19">
        <v>3</v>
      </c>
      <c r="S19">
        <v>1</v>
      </c>
      <c r="T19" s="18">
        <v>28</v>
      </c>
      <c r="U19" s="2">
        <v>84</v>
      </c>
      <c r="V19" s="2">
        <v>34</v>
      </c>
      <c r="W19" s="3">
        <v>25</v>
      </c>
      <c r="X19" s="3">
        <v>13</v>
      </c>
      <c r="Y19" s="3">
        <v>5</v>
      </c>
      <c r="Z19" s="3">
        <v>5</v>
      </c>
      <c r="AA19" s="8">
        <v>98</v>
      </c>
      <c r="AB19" s="3">
        <v>65</v>
      </c>
      <c r="AC19" s="3">
        <v>17</v>
      </c>
      <c r="AD19" s="3">
        <v>31</v>
      </c>
      <c r="AE19" s="3">
        <v>74</v>
      </c>
      <c r="AF19" s="3">
        <v>29</v>
      </c>
      <c r="AG19" s="3">
        <v>5</v>
      </c>
      <c r="AH19" s="4">
        <v>3</v>
      </c>
      <c r="AI19" s="4">
        <v>3</v>
      </c>
      <c r="AJ19" s="4">
        <v>3</v>
      </c>
      <c r="AK19" s="5">
        <v>3</v>
      </c>
      <c r="AL19" s="5">
        <v>3</v>
      </c>
      <c r="AM19" s="5">
        <v>39</v>
      </c>
      <c r="AN19" s="5">
        <v>15</v>
      </c>
      <c r="AO19" s="5">
        <v>63</v>
      </c>
      <c r="AP19" s="5">
        <v>3</v>
      </c>
      <c r="AQ19" s="5">
        <v>3</v>
      </c>
      <c r="AR19" s="6">
        <v>3</v>
      </c>
      <c r="AS19" s="6">
        <v>3</v>
      </c>
      <c r="AT19" s="6">
        <v>3</v>
      </c>
      <c r="AU19" s="7">
        <v>400</v>
      </c>
      <c r="AV19">
        <v>14</v>
      </c>
      <c r="AW19">
        <v>18</v>
      </c>
      <c r="AX19">
        <v>21</v>
      </c>
      <c r="AY19">
        <f t="shared" si="0"/>
        <v>53</v>
      </c>
      <c r="AZ19">
        <v>29</v>
      </c>
      <c r="BA19">
        <v>27.21</v>
      </c>
      <c r="BB19">
        <v>3</v>
      </c>
      <c r="BC19">
        <v>3</v>
      </c>
      <c r="BD19">
        <v>3</v>
      </c>
      <c r="BE19">
        <v>3</v>
      </c>
      <c r="BF19">
        <v>3</v>
      </c>
      <c r="BG19">
        <v>3</v>
      </c>
      <c r="BH19">
        <v>18</v>
      </c>
      <c r="BI19">
        <v>16.399999999999999</v>
      </c>
      <c r="BJ19">
        <v>3</v>
      </c>
      <c r="BK19" t="s">
        <v>63</v>
      </c>
      <c r="BN19">
        <v>0.15</v>
      </c>
      <c r="BO19">
        <v>8</v>
      </c>
      <c r="BQ19" s="33"/>
    </row>
    <row r="20" spans="1:69">
      <c r="A20" s="12" t="s">
        <v>83</v>
      </c>
      <c r="B20">
        <v>68</v>
      </c>
      <c r="C20">
        <v>13</v>
      </c>
      <c r="D20" t="s">
        <v>107</v>
      </c>
      <c r="E20">
        <v>67</v>
      </c>
      <c r="F20" t="s">
        <v>165</v>
      </c>
      <c r="G20" t="s">
        <v>166</v>
      </c>
      <c r="H20" t="s">
        <v>166</v>
      </c>
      <c r="I20" t="s">
        <v>167</v>
      </c>
      <c r="J20">
        <v>100</v>
      </c>
      <c r="K20">
        <v>2.1</v>
      </c>
      <c r="N20">
        <v>3</v>
      </c>
      <c r="O20">
        <v>51</v>
      </c>
      <c r="P20">
        <v>310</v>
      </c>
      <c r="Q20">
        <v>6</v>
      </c>
      <c r="R20">
        <v>6</v>
      </c>
      <c r="S20">
        <v>2</v>
      </c>
      <c r="T20" s="18">
        <v>31</v>
      </c>
      <c r="U20" s="2">
        <v>74</v>
      </c>
      <c r="V20" s="2">
        <v>38</v>
      </c>
      <c r="W20" s="3">
        <v>38</v>
      </c>
      <c r="X20" s="3">
        <v>21</v>
      </c>
      <c r="Y20" s="3">
        <v>4</v>
      </c>
      <c r="Z20" s="3">
        <v>34</v>
      </c>
      <c r="AA20" s="3">
        <v>69</v>
      </c>
      <c r="AB20" s="3">
        <v>54</v>
      </c>
      <c r="AC20" s="3">
        <v>21</v>
      </c>
      <c r="AD20" s="3">
        <v>24</v>
      </c>
      <c r="AE20" s="8">
        <v>87</v>
      </c>
      <c r="AF20" s="3">
        <v>28</v>
      </c>
      <c r="AG20" s="3">
        <v>4</v>
      </c>
      <c r="AH20" s="4">
        <v>3</v>
      </c>
      <c r="AI20" s="4">
        <v>3</v>
      </c>
      <c r="AJ20" s="4">
        <v>3</v>
      </c>
      <c r="AK20" s="5">
        <v>3</v>
      </c>
      <c r="AL20" s="5">
        <v>23</v>
      </c>
      <c r="AM20" s="5">
        <v>15</v>
      </c>
      <c r="AN20" s="5">
        <v>43</v>
      </c>
      <c r="AO20" s="5">
        <v>3</v>
      </c>
      <c r="AP20" s="5">
        <v>23</v>
      </c>
      <c r="AQ20" s="5">
        <v>3</v>
      </c>
      <c r="AR20" s="6">
        <v>13</v>
      </c>
      <c r="AS20" s="6">
        <v>15</v>
      </c>
      <c r="AT20" s="6">
        <v>3</v>
      </c>
      <c r="AU20" s="7">
        <v>700</v>
      </c>
      <c r="AV20">
        <v>15</v>
      </c>
      <c r="AW20">
        <v>16</v>
      </c>
      <c r="AX20" s="1">
        <v>32</v>
      </c>
      <c r="AY20">
        <f t="shared" si="0"/>
        <v>63</v>
      </c>
      <c r="AZ20">
        <v>28</v>
      </c>
      <c r="BA20">
        <v>26</v>
      </c>
      <c r="BB20">
        <v>3</v>
      </c>
      <c r="BC20">
        <v>3</v>
      </c>
      <c r="BD20">
        <v>2</v>
      </c>
      <c r="BE20">
        <v>2</v>
      </c>
      <c r="BF20">
        <v>3</v>
      </c>
      <c r="BG20">
        <v>3</v>
      </c>
      <c r="BH20">
        <v>16</v>
      </c>
      <c r="BI20">
        <v>16.399999999999999</v>
      </c>
      <c r="BJ20">
        <v>3</v>
      </c>
      <c r="BK20" t="s">
        <v>83</v>
      </c>
      <c r="BL20">
        <v>5.67</v>
      </c>
      <c r="BM20">
        <v>2.1</v>
      </c>
      <c r="BQ20" s="33"/>
    </row>
    <row r="21" spans="1:69">
      <c r="A21" s="14" t="s">
        <v>85</v>
      </c>
      <c r="B21">
        <v>71</v>
      </c>
      <c r="C21">
        <v>8</v>
      </c>
      <c r="D21" t="s">
        <v>106</v>
      </c>
      <c r="E21">
        <v>57</v>
      </c>
      <c r="F21" t="s">
        <v>165</v>
      </c>
      <c r="G21" t="s">
        <v>166</v>
      </c>
      <c r="H21" t="s">
        <v>166</v>
      </c>
      <c r="I21" t="s">
        <v>166</v>
      </c>
      <c r="J21">
        <v>600</v>
      </c>
      <c r="K21">
        <v>0.27</v>
      </c>
      <c r="M21">
        <v>6</v>
      </c>
      <c r="N21">
        <v>3</v>
      </c>
      <c r="O21">
        <v>34</v>
      </c>
      <c r="P21">
        <v>808</v>
      </c>
      <c r="Q21">
        <v>15</v>
      </c>
      <c r="R21">
        <v>15</v>
      </c>
      <c r="S21">
        <v>13</v>
      </c>
      <c r="T21" s="2">
        <v>71</v>
      </c>
      <c r="U21" s="2">
        <v>51</v>
      </c>
      <c r="V21" s="2">
        <v>87</v>
      </c>
      <c r="W21" s="3">
        <v>65</v>
      </c>
      <c r="X21" s="3">
        <v>72</v>
      </c>
      <c r="Y21" s="3">
        <v>69</v>
      </c>
      <c r="Z21" s="8">
        <v>105</v>
      </c>
      <c r="AA21" s="3">
        <v>41</v>
      </c>
      <c r="AB21" s="3">
        <v>20</v>
      </c>
      <c r="AC21" s="3">
        <v>36</v>
      </c>
      <c r="AD21" s="3">
        <v>65</v>
      </c>
      <c r="AE21" s="3">
        <v>72</v>
      </c>
      <c r="AF21" s="3">
        <v>64</v>
      </c>
      <c r="AG21" s="3">
        <v>53</v>
      </c>
      <c r="AH21" s="4">
        <v>56</v>
      </c>
      <c r="AI21" s="4">
        <v>21</v>
      </c>
      <c r="AJ21" s="4">
        <v>66</v>
      </c>
      <c r="AK21" s="5">
        <v>110</v>
      </c>
      <c r="AL21" s="5">
        <v>105</v>
      </c>
      <c r="AM21" s="5">
        <v>65</v>
      </c>
      <c r="AN21" s="5">
        <v>85</v>
      </c>
      <c r="AO21" s="5">
        <v>40</v>
      </c>
      <c r="AP21" s="5">
        <v>0</v>
      </c>
      <c r="AQ21" s="5">
        <v>71</v>
      </c>
      <c r="AR21" s="6">
        <v>62</v>
      </c>
      <c r="AS21" s="6">
        <v>87</v>
      </c>
      <c r="AT21" s="6">
        <v>0</v>
      </c>
      <c r="AU21" s="7">
        <v>300</v>
      </c>
      <c r="AV21" s="1">
        <v>23</v>
      </c>
      <c r="AW21">
        <v>16</v>
      </c>
      <c r="AX21">
        <v>16</v>
      </c>
      <c r="AY21">
        <f t="shared" si="0"/>
        <v>55</v>
      </c>
      <c r="AZ21">
        <v>29</v>
      </c>
      <c r="BA21">
        <v>27.4</v>
      </c>
      <c r="BB21">
        <v>2</v>
      </c>
      <c r="BC21">
        <v>2</v>
      </c>
      <c r="BD21">
        <v>3</v>
      </c>
      <c r="BE21">
        <v>2</v>
      </c>
      <c r="BF21">
        <v>1</v>
      </c>
      <c r="BG21">
        <v>3</v>
      </c>
      <c r="BH21">
        <v>13</v>
      </c>
      <c r="BI21">
        <v>13.7</v>
      </c>
      <c r="BJ21">
        <v>1</v>
      </c>
      <c r="BK21" t="s">
        <v>85</v>
      </c>
      <c r="BL21">
        <v>0.45</v>
      </c>
      <c r="BM21">
        <v>0.27</v>
      </c>
      <c r="BN21" s="35" t="s">
        <v>259</v>
      </c>
      <c r="BO21" s="33">
        <v>6</v>
      </c>
      <c r="BP21" s="33"/>
    </row>
    <row r="22" spans="1:69">
      <c r="A22" s="13" t="s">
        <v>86</v>
      </c>
      <c r="B22">
        <v>84</v>
      </c>
      <c r="C22">
        <v>5</v>
      </c>
      <c r="D22" t="s">
        <v>107</v>
      </c>
      <c r="E22">
        <v>78</v>
      </c>
      <c r="F22" s="26" t="s">
        <v>165</v>
      </c>
      <c r="G22" t="s">
        <v>167</v>
      </c>
      <c r="H22" t="s">
        <v>166</v>
      </c>
      <c r="I22" t="s">
        <v>166</v>
      </c>
      <c r="J22">
        <v>1000</v>
      </c>
      <c r="L22">
        <v>8</v>
      </c>
      <c r="M22">
        <v>8</v>
      </c>
      <c r="N22">
        <v>4</v>
      </c>
      <c r="O22">
        <v>56</v>
      </c>
      <c r="P22">
        <v>1402</v>
      </c>
      <c r="Q22">
        <v>7</v>
      </c>
      <c r="R22">
        <v>7</v>
      </c>
      <c r="S22">
        <v>7</v>
      </c>
      <c r="T22" s="2">
        <v>75</v>
      </c>
      <c r="U22" s="2">
        <v>59</v>
      </c>
      <c r="V22" s="2">
        <v>77</v>
      </c>
      <c r="W22" s="8">
        <v>84</v>
      </c>
      <c r="X22" s="8">
        <v>90</v>
      </c>
      <c r="Y22" s="3">
        <v>55</v>
      </c>
      <c r="Z22" s="3">
        <v>74</v>
      </c>
      <c r="AA22" s="3">
        <v>54</v>
      </c>
      <c r="AB22" s="3">
        <v>45</v>
      </c>
      <c r="AC22" s="3">
        <v>66</v>
      </c>
      <c r="AD22" s="3">
        <v>59</v>
      </c>
      <c r="AE22" s="8">
        <v>84</v>
      </c>
      <c r="AF22" s="3">
        <v>29</v>
      </c>
      <c r="AG22" s="3">
        <v>55</v>
      </c>
      <c r="AH22" s="4">
        <v>68</v>
      </c>
      <c r="AI22" s="4">
        <v>52</v>
      </c>
      <c r="AJ22" s="4">
        <v>65</v>
      </c>
      <c r="AK22" s="5">
        <v>107</v>
      </c>
      <c r="AL22" s="5">
        <v>99</v>
      </c>
      <c r="AM22" s="5">
        <v>65</v>
      </c>
      <c r="AN22" s="5">
        <v>94</v>
      </c>
      <c r="AO22" s="5">
        <v>59</v>
      </c>
      <c r="AP22" s="5">
        <v>68</v>
      </c>
      <c r="AQ22" s="5">
        <v>72</v>
      </c>
      <c r="AR22" s="6">
        <v>65</v>
      </c>
      <c r="AS22" s="6">
        <v>88</v>
      </c>
      <c r="AT22" s="6">
        <v>63</v>
      </c>
      <c r="AU22" s="7">
        <v>2400</v>
      </c>
      <c r="AV22">
        <v>17</v>
      </c>
      <c r="AW22">
        <v>14</v>
      </c>
      <c r="AX22">
        <v>26</v>
      </c>
      <c r="AY22">
        <f t="shared" si="0"/>
        <v>57</v>
      </c>
      <c r="AZ22">
        <v>27</v>
      </c>
      <c r="BA22">
        <v>27.4</v>
      </c>
      <c r="BB22">
        <v>2</v>
      </c>
      <c r="BC22">
        <v>0</v>
      </c>
      <c r="BD22">
        <v>1</v>
      </c>
      <c r="BE22">
        <v>0</v>
      </c>
      <c r="BF22">
        <v>1</v>
      </c>
      <c r="BG22">
        <v>3</v>
      </c>
      <c r="BH22">
        <v>7</v>
      </c>
      <c r="BI22">
        <v>8.8000000000000007</v>
      </c>
      <c r="BJ22" s="1">
        <v>0</v>
      </c>
      <c r="BK22" s="1" t="s">
        <v>86</v>
      </c>
      <c r="BN22">
        <v>16.14</v>
      </c>
      <c r="BO22">
        <v>8</v>
      </c>
      <c r="BP22">
        <v>0.11</v>
      </c>
      <c r="BQ22" s="33">
        <v>8</v>
      </c>
    </row>
    <row r="23" spans="1:69">
      <c r="A23" s="12" t="s">
        <v>90</v>
      </c>
      <c r="B23">
        <v>68</v>
      </c>
      <c r="C23">
        <v>8</v>
      </c>
      <c r="D23" t="s">
        <v>107</v>
      </c>
      <c r="E23">
        <v>89</v>
      </c>
      <c r="F23" t="s">
        <v>165</v>
      </c>
      <c r="G23" t="s">
        <v>166</v>
      </c>
      <c r="H23" t="s">
        <v>167</v>
      </c>
      <c r="I23" t="s">
        <v>166</v>
      </c>
      <c r="J23">
        <v>200</v>
      </c>
      <c r="K23">
        <v>1.05</v>
      </c>
      <c r="N23">
        <v>1</v>
      </c>
      <c r="O23">
        <v>13</v>
      </c>
      <c r="P23" s="25"/>
      <c r="Q23">
        <v>2</v>
      </c>
      <c r="R23">
        <v>2</v>
      </c>
      <c r="S23">
        <v>0.1</v>
      </c>
      <c r="T23" s="18">
        <v>30</v>
      </c>
      <c r="U23" s="2">
        <v>84</v>
      </c>
      <c r="V23" s="2">
        <v>0</v>
      </c>
      <c r="W23" s="3">
        <v>38</v>
      </c>
      <c r="X23" s="3">
        <v>12</v>
      </c>
      <c r="Y23" s="3">
        <v>21</v>
      </c>
      <c r="Z23" s="3">
        <v>14</v>
      </c>
      <c r="AA23" s="8">
        <v>76</v>
      </c>
      <c r="AB23" s="3">
        <v>59</v>
      </c>
      <c r="AC23" s="3">
        <v>4</v>
      </c>
      <c r="AD23" s="3">
        <v>17</v>
      </c>
      <c r="AE23" s="8">
        <v>102</v>
      </c>
      <c r="AF23" s="3">
        <v>10</v>
      </c>
      <c r="AG23" s="3">
        <v>4</v>
      </c>
      <c r="AH23" s="4">
        <v>3</v>
      </c>
      <c r="AI23" s="4">
        <v>3</v>
      </c>
      <c r="AJ23" s="4">
        <v>51</v>
      </c>
      <c r="AK23" s="5">
        <v>3</v>
      </c>
      <c r="AL23" s="5">
        <v>3</v>
      </c>
      <c r="AM23" s="5">
        <v>3</v>
      </c>
      <c r="AN23" s="5">
        <v>3</v>
      </c>
      <c r="AO23" s="5">
        <v>3</v>
      </c>
      <c r="AP23" s="5">
        <v>3</v>
      </c>
      <c r="AQ23" s="5">
        <v>3</v>
      </c>
      <c r="AR23" s="6">
        <v>3</v>
      </c>
      <c r="AS23" s="6">
        <v>3</v>
      </c>
      <c r="AT23" s="6">
        <v>3</v>
      </c>
      <c r="AU23" s="7">
        <v>740</v>
      </c>
      <c r="AV23">
        <v>12</v>
      </c>
      <c r="AW23">
        <v>17</v>
      </c>
      <c r="AX23">
        <v>22</v>
      </c>
      <c r="AY23">
        <f t="shared" si="0"/>
        <v>51</v>
      </c>
      <c r="AZ23">
        <v>28</v>
      </c>
      <c r="BA23">
        <v>26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18</v>
      </c>
      <c r="BI23">
        <v>18.399999999999999</v>
      </c>
      <c r="BJ23">
        <v>4</v>
      </c>
      <c r="BK23" t="s">
        <v>90</v>
      </c>
      <c r="BL23">
        <v>1.92</v>
      </c>
      <c r="BM23">
        <v>1.05</v>
      </c>
      <c r="BQ23" s="33"/>
    </row>
    <row r="24" spans="1:69">
      <c r="A24" s="12" t="s">
        <v>121</v>
      </c>
      <c r="B24">
        <v>66</v>
      </c>
      <c r="C24">
        <v>13</v>
      </c>
      <c r="D24" t="s">
        <v>106</v>
      </c>
      <c r="E24">
        <v>67</v>
      </c>
      <c r="F24" t="s">
        <v>165</v>
      </c>
      <c r="G24" t="s">
        <v>167</v>
      </c>
      <c r="H24" t="s">
        <v>167</v>
      </c>
      <c r="I24" t="s">
        <v>166</v>
      </c>
      <c r="J24">
        <v>300</v>
      </c>
      <c r="K24">
        <v>2.1</v>
      </c>
      <c r="N24">
        <v>2</v>
      </c>
      <c r="O24">
        <v>11</v>
      </c>
      <c r="P24" s="25"/>
      <c r="Q24">
        <v>6</v>
      </c>
      <c r="R24">
        <v>3</v>
      </c>
      <c r="S24">
        <v>5</v>
      </c>
      <c r="T24" s="2">
        <v>36</v>
      </c>
      <c r="U24" s="2">
        <v>89</v>
      </c>
      <c r="V24" s="2">
        <v>38</v>
      </c>
      <c r="W24" s="3">
        <v>20</v>
      </c>
      <c r="X24" s="3">
        <v>8</v>
      </c>
      <c r="Y24" s="3">
        <v>13</v>
      </c>
      <c r="Z24" s="3">
        <v>25</v>
      </c>
      <c r="AA24" s="8">
        <v>105</v>
      </c>
      <c r="AB24" s="3">
        <v>66</v>
      </c>
      <c r="AC24" s="3">
        <v>24</v>
      </c>
      <c r="AD24" s="3">
        <v>6</v>
      </c>
      <c r="AE24" s="8">
        <v>75</v>
      </c>
      <c r="AF24" s="3">
        <v>0</v>
      </c>
      <c r="AG24" s="3">
        <v>20</v>
      </c>
      <c r="AH24" s="4">
        <v>30</v>
      </c>
      <c r="AI24" s="4">
        <v>0</v>
      </c>
      <c r="AJ24" s="4">
        <v>0</v>
      </c>
      <c r="AK24" s="5">
        <v>0</v>
      </c>
      <c r="AL24" s="5">
        <v>12</v>
      </c>
      <c r="AM24" s="5">
        <v>36</v>
      </c>
      <c r="AN24" s="5">
        <v>24</v>
      </c>
      <c r="AO24" s="5">
        <v>0</v>
      </c>
      <c r="AP24" s="5">
        <v>30</v>
      </c>
      <c r="AQ24" s="5">
        <v>0</v>
      </c>
      <c r="AR24" s="6">
        <v>15</v>
      </c>
      <c r="AS24" s="6">
        <v>8</v>
      </c>
      <c r="AT24" s="6">
        <v>0</v>
      </c>
      <c r="AU24" s="7">
        <v>470</v>
      </c>
      <c r="AV24">
        <v>13</v>
      </c>
      <c r="AW24">
        <v>15</v>
      </c>
      <c r="AX24">
        <v>22</v>
      </c>
      <c r="AY24">
        <f t="shared" si="0"/>
        <v>50</v>
      </c>
      <c r="AZ24">
        <v>30</v>
      </c>
      <c r="BA24">
        <v>28</v>
      </c>
      <c r="BB24">
        <v>3</v>
      </c>
      <c r="BC24">
        <v>3</v>
      </c>
      <c r="BD24">
        <v>3</v>
      </c>
      <c r="BE24">
        <v>3</v>
      </c>
      <c r="BF24">
        <v>3</v>
      </c>
      <c r="BG24">
        <v>3</v>
      </c>
      <c r="BH24">
        <v>18</v>
      </c>
      <c r="BI24">
        <v>17.7</v>
      </c>
      <c r="BJ24">
        <v>4</v>
      </c>
      <c r="BK24" t="s">
        <v>121</v>
      </c>
      <c r="BL24">
        <v>4.7300000000000004</v>
      </c>
      <c r="BM24">
        <v>2.1</v>
      </c>
      <c r="BQ24" s="33"/>
    </row>
    <row r="25" spans="1:69">
      <c r="A25" s="13" t="s">
        <v>123</v>
      </c>
      <c r="B25">
        <v>63</v>
      </c>
      <c r="C25">
        <v>11</v>
      </c>
      <c r="D25" t="s">
        <v>106</v>
      </c>
      <c r="E25">
        <v>73</v>
      </c>
      <c r="F25" t="s">
        <v>165</v>
      </c>
      <c r="G25" t="s">
        <v>166</v>
      </c>
      <c r="H25" t="s">
        <v>166</v>
      </c>
      <c r="I25" t="s">
        <v>166</v>
      </c>
      <c r="J25">
        <v>500</v>
      </c>
      <c r="L25">
        <v>12</v>
      </c>
      <c r="N25">
        <v>2</v>
      </c>
      <c r="O25">
        <v>30</v>
      </c>
      <c r="P25" s="25"/>
      <c r="Q25">
        <v>8</v>
      </c>
      <c r="R25">
        <v>8</v>
      </c>
      <c r="S25">
        <v>8</v>
      </c>
      <c r="T25" s="2">
        <v>59</v>
      </c>
      <c r="U25" s="2">
        <v>84</v>
      </c>
      <c r="V25" s="2">
        <v>52</v>
      </c>
      <c r="W25" s="3">
        <v>66</v>
      </c>
      <c r="X25" s="3">
        <v>34</v>
      </c>
      <c r="Y25" s="3">
        <v>26</v>
      </c>
      <c r="Z25" s="3">
        <v>60</v>
      </c>
      <c r="AA25" s="3">
        <v>63</v>
      </c>
      <c r="AB25" s="3">
        <v>63</v>
      </c>
      <c r="AC25" s="3">
        <v>60</v>
      </c>
      <c r="AD25" s="3">
        <v>46</v>
      </c>
      <c r="AE25" s="8">
        <v>113</v>
      </c>
      <c r="AF25" s="3">
        <v>54</v>
      </c>
      <c r="AG25" s="3">
        <v>10</v>
      </c>
      <c r="AH25" s="4">
        <v>0</v>
      </c>
      <c r="AI25" s="4">
        <v>7</v>
      </c>
      <c r="AJ25" s="4">
        <v>69</v>
      </c>
      <c r="AK25" s="5">
        <v>48</v>
      </c>
      <c r="AL25" s="5">
        <v>63</v>
      </c>
      <c r="AM25" s="5">
        <v>60</v>
      </c>
      <c r="AN25" s="5">
        <v>12</v>
      </c>
      <c r="AO25" s="5">
        <v>20</v>
      </c>
      <c r="AP25" s="5">
        <v>61</v>
      </c>
      <c r="AQ25" s="5">
        <v>12</v>
      </c>
      <c r="AR25" s="6">
        <v>30</v>
      </c>
      <c r="AS25" s="6">
        <v>34</v>
      </c>
      <c r="AT25" s="6">
        <v>36</v>
      </c>
      <c r="AU25" s="7">
        <v>700</v>
      </c>
      <c r="AV25">
        <v>13</v>
      </c>
      <c r="AW25">
        <v>14</v>
      </c>
      <c r="AX25">
        <v>15</v>
      </c>
      <c r="AY25">
        <f t="shared" si="0"/>
        <v>42</v>
      </c>
      <c r="AZ25">
        <v>28</v>
      </c>
      <c r="BA25">
        <v>27.49</v>
      </c>
      <c r="BB25">
        <v>3</v>
      </c>
      <c r="BC25">
        <v>2</v>
      </c>
      <c r="BD25">
        <v>3</v>
      </c>
      <c r="BE25">
        <v>3</v>
      </c>
      <c r="BF25">
        <v>1</v>
      </c>
      <c r="BG25">
        <v>3</v>
      </c>
      <c r="BH25">
        <v>15</v>
      </c>
      <c r="BI25">
        <v>15.3</v>
      </c>
      <c r="BJ25">
        <v>2</v>
      </c>
      <c r="BK25" t="s">
        <v>123</v>
      </c>
      <c r="BN25">
        <v>7.92</v>
      </c>
      <c r="BO25">
        <v>12</v>
      </c>
      <c r="BQ25" s="33"/>
    </row>
    <row r="26" spans="1:69">
      <c r="A26" s="15" t="s">
        <v>124</v>
      </c>
      <c r="B26">
        <v>79</v>
      </c>
      <c r="C26">
        <v>13</v>
      </c>
      <c r="D26" t="s">
        <v>106</v>
      </c>
      <c r="E26">
        <v>65</v>
      </c>
      <c r="F26" t="s">
        <v>165</v>
      </c>
      <c r="G26" t="s">
        <v>166</v>
      </c>
      <c r="H26" t="s">
        <v>167</v>
      </c>
      <c r="I26" t="s">
        <v>166</v>
      </c>
      <c r="J26">
        <v>300</v>
      </c>
      <c r="M26" s="32" t="s">
        <v>258</v>
      </c>
      <c r="N26">
        <v>2</v>
      </c>
      <c r="O26">
        <v>17</v>
      </c>
      <c r="P26" s="25"/>
      <c r="Q26">
        <v>11</v>
      </c>
      <c r="R26">
        <v>11</v>
      </c>
      <c r="S26">
        <v>6</v>
      </c>
      <c r="T26" s="2">
        <v>57</v>
      </c>
      <c r="U26" s="2">
        <v>65</v>
      </c>
      <c r="V26" s="2">
        <v>45</v>
      </c>
      <c r="W26" s="3">
        <v>66</v>
      </c>
      <c r="X26" s="8">
        <v>77</v>
      </c>
      <c r="Y26" s="3">
        <v>20</v>
      </c>
      <c r="Z26" s="3">
        <v>42</v>
      </c>
      <c r="AA26" s="3">
        <v>41</v>
      </c>
      <c r="AB26" s="3">
        <v>60</v>
      </c>
      <c r="AC26" s="3">
        <v>24</v>
      </c>
      <c r="AD26" s="3">
        <v>46</v>
      </c>
      <c r="AE26" s="8">
        <v>115</v>
      </c>
      <c r="AF26" s="3">
        <v>54</v>
      </c>
      <c r="AG26" s="3">
        <v>30</v>
      </c>
      <c r="AH26" s="4">
        <v>68</v>
      </c>
      <c r="AI26" s="4">
        <v>7</v>
      </c>
      <c r="AJ26" s="4">
        <v>65</v>
      </c>
      <c r="AK26" s="5">
        <v>36</v>
      </c>
      <c r="AL26" s="5">
        <v>48</v>
      </c>
      <c r="AM26" s="5">
        <v>36</v>
      </c>
      <c r="AN26" s="5">
        <v>48</v>
      </c>
      <c r="AO26" s="5">
        <v>20</v>
      </c>
      <c r="AP26" s="5">
        <v>30</v>
      </c>
      <c r="AQ26" s="5">
        <v>24</v>
      </c>
      <c r="AR26" s="6">
        <v>37</v>
      </c>
      <c r="AS26" s="6">
        <v>25</v>
      </c>
      <c r="AT26" s="6">
        <v>36</v>
      </c>
      <c r="AU26" s="7" t="s">
        <v>129</v>
      </c>
      <c r="AV26">
        <v>13</v>
      </c>
      <c r="AW26">
        <v>15</v>
      </c>
      <c r="AX26">
        <v>17</v>
      </c>
      <c r="AY26">
        <f t="shared" si="0"/>
        <v>45</v>
      </c>
      <c r="AZ26">
        <v>29</v>
      </c>
      <c r="BA26">
        <v>27.3</v>
      </c>
      <c r="BB26">
        <v>3</v>
      </c>
      <c r="BC26">
        <v>3</v>
      </c>
      <c r="BD26">
        <v>3</v>
      </c>
      <c r="BE26">
        <v>3</v>
      </c>
      <c r="BF26">
        <v>1</v>
      </c>
      <c r="BG26">
        <v>3</v>
      </c>
      <c r="BH26">
        <v>16</v>
      </c>
      <c r="BI26">
        <v>16.2</v>
      </c>
      <c r="BJ26">
        <v>3</v>
      </c>
      <c r="BK26" t="s">
        <v>124</v>
      </c>
      <c r="BP26">
        <v>0.77</v>
      </c>
      <c r="BQ26" s="33" t="s">
        <v>258</v>
      </c>
    </row>
    <row r="27" spans="1:69">
      <c r="A27" s="15" t="s">
        <v>125</v>
      </c>
      <c r="B27">
        <v>72</v>
      </c>
      <c r="C27">
        <v>18</v>
      </c>
      <c r="D27" t="s">
        <v>107</v>
      </c>
      <c r="E27">
        <v>76</v>
      </c>
      <c r="F27" t="s">
        <v>165</v>
      </c>
      <c r="G27" t="s">
        <v>167</v>
      </c>
      <c r="H27" t="s">
        <v>167</v>
      </c>
      <c r="I27" t="s">
        <v>166</v>
      </c>
      <c r="J27">
        <v>600</v>
      </c>
      <c r="M27" s="31">
        <v>4</v>
      </c>
      <c r="N27">
        <v>2</v>
      </c>
      <c r="O27">
        <v>28</v>
      </c>
      <c r="P27" s="25"/>
      <c r="Q27">
        <v>8</v>
      </c>
      <c r="R27">
        <v>5</v>
      </c>
      <c r="S27">
        <v>6</v>
      </c>
      <c r="T27" s="2">
        <v>46</v>
      </c>
      <c r="U27" s="2">
        <v>84</v>
      </c>
      <c r="V27" s="2">
        <v>0</v>
      </c>
      <c r="W27" s="3">
        <v>34</v>
      </c>
      <c r="X27" s="3">
        <v>8</v>
      </c>
      <c r="Y27" s="3">
        <v>0</v>
      </c>
      <c r="Z27" s="3">
        <v>0</v>
      </c>
      <c r="AA27" s="3">
        <v>70</v>
      </c>
      <c r="AB27" s="8">
        <v>85</v>
      </c>
      <c r="AC27" s="3">
        <v>34</v>
      </c>
      <c r="AD27" s="3">
        <v>61</v>
      </c>
      <c r="AE27" s="8">
        <v>98</v>
      </c>
      <c r="AF27" s="3">
        <v>18</v>
      </c>
      <c r="AG27" s="3">
        <v>0</v>
      </c>
      <c r="AH27" s="4">
        <v>0</v>
      </c>
      <c r="AI27" s="4">
        <v>0</v>
      </c>
      <c r="AJ27" s="4">
        <v>61</v>
      </c>
      <c r="AK27" s="5">
        <v>20</v>
      </c>
      <c r="AL27" s="5">
        <v>0</v>
      </c>
      <c r="AM27" s="5">
        <v>36</v>
      </c>
      <c r="AN27" s="5">
        <v>0</v>
      </c>
      <c r="AO27" s="5">
        <v>30</v>
      </c>
      <c r="AP27" s="5">
        <v>20</v>
      </c>
      <c r="AQ27" s="5">
        <v>0</v>
      </c>
      <c r="AR27" s="6">
        <v>20</v>
      </c>
      <c r="AS27" s="6">
        <v>0</v>
      </c>
      <c r="AT27" s="6">
        <v>40</v>
      </c>
      <c r="AU27" s="7">
        <v>750</v>
      </c>
      <c r="AV27">
        <v>10</v>
      </c>
      <c r="AW27">
        <v>16</v>
      </c>
      <c r="AX27">
        <v>20</v>
      </c>
      <c r="AY27">
        <f t="shared" si="0"/>
        <v>46</v>
      </c>
      <c r="AZ27">
        <v>28</v>
      </c>
      <c r="BA27">
        <v>25.7</v>
      </c>
      <c r="BB27">
        <v>3</v>
      </c>
      <c r="BC27">
        <v>2</v>
      </c>
      <c r="BD27">
        <v>3</v>
      </c>
      <c r="BE27">
        <v>3</v>
      </c>
      <c r="BF27">
        <v>1</v>
      </c>
      <c r="BG27">
        <v>3</v>
      </c>
      <c r="BH27">
        <v>15</v>
      </c>
      <c r="BI27">
        <v>14.4</v>
      </c>
      <c r="BJ27">
        <v>2</v>
      </c>
      <c r="BK27" t="s">
        <v>125</v>
      </c>
      <c r="BP27">
        <v>0.25</v>
      </c>
      <c r="BQ27" s="33">
        <v>4</v>
      </c>
    </row>
    <row r="28" spans="1:69">
      <c r="A28" s="12" t="s">
        <v>126</v>
      </c>
      <c r="B28">
        <v>58</v>
      </c>
      <c r="C28">
        <v>13</v>
      </c>
      <c r="D28" t="s">
        <v>107</v>
      </c>
      <c r="E28">
        <v>95</v>
      </c>
      <c r="F28" t="s">
        <v>165</v>
      </c>
      <c r="G28" t="s">
        <v>166</v>
      </c>
      <c r="H28" t="s">
        <v>167</v>
      </c>
      <c r="I28" t="s">
        <v>166</v>
      </c>
      <c r="J28">
        <v>300</v>
      </c>
      <c r="K28">
        <v>0.54</v>
      </c>
      <c r="N28">
        <v>2</v>
      </c>
      <c r="O28">
        <v>30</v>
      </c>
      <c r="P28" s="25"/>
      <c r="Q28">
        <v>6</v>
      </c>
      <c r="R28">
        <v>2</v>
      </c>
      <c r="S28">
        <v>4</v>
      </c>
      <c r="T28" s="2">
        <v>61</v>
      </c>
      <c r="U28" s="2">
        <v>59</v>
      </c>
      <c r="V28" s="2">
        <v>65</v>
      </c>
      <c r="W28" s="3">
        <v>72</v>
      </c>
      <c r="X28" s="8">
        <v>92</v>
      </c>
      <c r="Y28" s="3">
        <v>48</v>
      </c>
      <c r="Z28" s="8">
        <v>85</v>
      </c>
      <c r="AA28" s="3">
        <v>32</v>
      </c>
      <c r="AB28" s="3">
        <v>32</v>
      </c>
      <c r="AC28" s="3">
        <v>51</v>
      </c>
      <c r="AD28" s="3">
        <v>26</v>
      </c>
      <c r="AE28" s="8">
        <v>85</v>
      </c>
      <c r="AF28" s="3">
        <v>30</v>
      </c>
      <c r="AG28" s="3">
        <v>27</v>
      </c>
      <c r="AH28" s="4">
        <v>28</v>
      </c>
      <c r="AI28" s="4">
        <v>22</v>
      </c>
      <c r="AJ28" s="4">
        <v>24</v>
      </c>
      <c r="AK28" s="5">
        <v>94</v>
      </c>
      <c r="AL28" s="5">
        <v>40</v>
      </c>
      <c r="AM28" s="5">
        <v>48</v>
      </c>
      <c r="AN28" s="5">
        <v>75</v>
      </c>
      <c r="AO28" s="5">
        <v>30</v>
      </c>
      <c r="AP28" s="5">
        <v>60</v>
      </c>
      <c r="AQ28" s="5">
        <v>45</v>
      </c>
      <c r="AR28" s="6">
        <v>60</v>
      </c>
      <c r="AS28" s="6">
        <v>60</v>
      </c>
      <c r="AT28" s="6">
        <v>20</v>
      </c>
      <c r="AU28" s="7" t="s">
        <v>130</v>
      </c>
      <c r="AV28">
        <v>16</v>
      </c>
      <c r="AW28">
        <v>18</v>
      </c>
      <c r="AX28">
        <v>24</v>
      </c>
      <c r="AY28">
        <f t="shared" si="0"/>
        <v>58</v>
      </c>
      <c r="AZ28">
        <v>30</v>
      </c>
      <c r="BA28">
        <v>28.99</v>
      </c>
      <c r="BB28">
        <v>3</v>
      </c>
      <c r="BC28">
        <v>3</v>
      </c>
      <c r="BD28">
        <v>3</v>
      </c>
      <c r="BE28">
        <v>3</v>
      </c>
      <c r="BF28">
        <v>3</v>
      </c>
      <c r="BG28">
        <v>3</v>
      </c>
      <c r="BH28">
        <v>18</v>
      </c>
      <c r="BI28">
        <v>17.3</v>
      </c>
      <c r="BJ28">
        <v>4</v>
      </c>
      <c r="BK28" t="s">
        <v>126</v>
      </c>
      <c r="BL28">
        <v>0.53</v>
      </c>
      <c r="BM28">
        <v>0.54</v>
      </c>
      <c r="BQ28" s="33"/>
    </row>
    <row r="29" spans="1:69">
      <c r="A29" s="12" t="s">
        <v>127</v>
      </c>
      <c r="B29">
        <v>60</v>
      </c>
      <c r="C29">
        <v>18</v>
      </c>
      <c r="D29" t="s">
        <v>107</v>
      </c>
      <c r="E29">
        <v>75</v>
      </c>
      <c r="F29" t="s">
        <v>165</v>
      </c>
      <c r="G29" t="s">
        <v>167</v>
      </c>
      <c r="H29" t="s">
        <v>167</v>
      </c>
      <c r="I29" t="s">
        <v>166</v>
      </c>
      <c r="J29">
        <v>900</v>
      </c>
      <c r="K29">
        <v>3.15</v>
      </c>
      <c r="N29">
        <v>2</v>
      </c>
      <c r="O29">
        <v>18</v>
      </c>
      <c r="P29" s="25"/>
      <c r="Q29">
        <v>14</v>
      </c>
      <c r="R29">
        <v>10</v>
      </c>
      <c r="S29">
        <v>12</v>
      </c>
      <c r="T29" s="2">
        <v>38</v>
      </c>
      <c r="U29" s="2">
        <v>84</v>
      </c>
      <c r="V29" s="2">
        <v>42</v>
      </c>
      <c r="W29" s="3">
        <v>0</v>
      </c>
      <c r="X29" s="3">
        <v>0</v>
      </c>
      <c r="Y29" s="3">
        <v>0</v>
      </c>
      <c r="Z29" s="3">
        <v>0</v>
      </c>
      <c r="AA29" s="8">
        <v>78</v>
      </c>
      <c r="AB29" s="8">
        <v>89</v>
      </c>
      <c r="AC29" s="3">
        <v>34</v>
      </c>
      <c r="AD29" s="3">
        <v>53</v>
      </c>
      <c r="AE29" s="8">
        <v>75</v>
      </c>
      <c r="AF29" s="3">
        <v>18</v>
      </c>
      <c r="AG29" s="3">
        <v>0</v>
      </c>
      <c r="AH29" s="4">
        <v>0</v>
      </c>
      <c r="AI29" s="4">
        <v>0</v>
      </c>
      <c r="AJ29" s="4">
        <v>61</v>
      </c>
      <c r="AK29" s="5">
        <v>20</v>
      </c>
      <c r="AL29" s="5">
        <v>20</v>
      </c>
      <c r="AM29" s="5">
        <v>12</v>
      </c>
      <c r="AN29" s="5">
        <v>0</v>
      </c>
      <c r="AO29" s="5">
        <v>15</v>
      </c>
      <c r="AP29" s="5">
        <v>20</v>
      </c>
      <c r="AQ29" s="5">
        <v>0</v>
      </c>
      <c r="AR29" s="6">
        <v>40</v>
      </c>
      <c r="AS29" s="6">
        <v>36</v>
      </c>
      <c r="AT29" s="6">
        <v>20</v>
      </c>
      <c r="AU29" s="7">
        <v>540</v>
      </c>
      <c r="AV29">
        <v>16</v>
      </c>
      <c r="AW29">
        <v>22</v>
      </c>
      <c r="AX29">
        <v>24</v>
      </c>
      <c r="AY29">
        <f t="shared" si="0"/>
        <v>62</v>
      </c>
      <c r="AZ29">
        <v>28</v>
      </c>
      <c r="BA29">
        <v>26.46</v>
      </c>
      <c r="BB29">
        <v>3</v>
      </c>
      <c r="BC29">
        <v>3</v>
      </c>
      <c r="BD29">
        <v>3</v>
      </c>
      <c r="BE29">
        <v>3</v>
      </c>
      <c r="BF29">
        <v>3</v>
      </c>
      <c r="BG29">
        <v>3</v>
      </c>
      <c r="BH29">
        <v>18</v>
      </c>
      <c r="BI29">
        <v>17</v>
      </c>
      <c r="BJ29">
        <v>4</v>
      </c>
      <c r="BK29" t="s">
        <v>127</v>
      </c>
      <c r="BL29">
        <v>5.77</v>
      </c>
      <c r="BM29">
        <v>3.15</v>
      </c>
      <c r="BQ29" s="33"/>
    </row>
    <row r="30" spans="1:69">
      <c r="A30" s="12" t="s">
        <v>152</v>
      </c>
      <c r="B30">
        <v>63</v>
      </c>
      <c r="C30">
        <v>13</v>
      </c>
      <c r="D30" t="s">
        <v>107</v>
      </c>
      <c r="E30">
        <v>90</v>
      </c>
      <c r="F30" t="s">
        <v>165</v>
      </c>
      <c r="G30" t="s">
        <v>166</v>
      </c>
      <c r="H30" t="s">
        <v>166</v>
      </c>
      <c r="I30" t="s">
        <v>167</v>
      </c>
      <c r="J30">
        <v>200</v>
      </c>
      <c r="K30">
        <v>2.1</v>
      </c>
      <c r="N30">
        <v>2.5</v>
      </c>
      <c r="O30">
        <v>38</v>
      </c>
      <c r="P30">
        <v>410</v>
      </c>
      <c r="Q30">
        <v>5</v>
      </c>
      <c r="R30">
        <v>5</v>
      </c>
      <c r="S30">
        <v>2</v>
      </c>
      <c r="T30" s="18">
        <v>22</v>
      </c>
      <c r="U30" s="2">
        <v>65</v>
      </c>
      <c r="V30" s="2">
        <v>42</v>
      </c>
      <c r="W30" s="3">
        <v>41</v>
      </c>
      <c r="X30" s="3">
        <v>24</v>
      </c>
      <c r="Y30" s="3">
        <v>24</v>
      </c>
      <c r="Z30" s="3">
        <v>47</v>
      </c>
      <c r="AA30" s="3">
        <v>62</v>
      </c>
      <c r="AB30" s="3">
        <v>53</v>
      </c>
      <c r="AC30" s="3">
        <v>7</v>
      </c>
      <c r="AD30" s="3">
        <v>7</v>
      </c>
      <c r="AE30" s="8">
        <v>105</v>
      </c>
      <c r="AF30" s="3">
        <v>19</v>
      </c>
      <c r="AG30" s="3">
        <v>7</v>
      </c>
      <c r="AH30" s="4">
        <v>34</v>
      </c>
      <c r="AI30" s="4">
        <v>4</v>
      </c>
      <c r="AJ30" s="4">
        <v>4</v>
      </c>
      <c r="AK30" s="5">
        <v>44</v>
      </c>
      <c r="AL30" s="5">
        <v>44</v>
      </c>
      <c r="AM30" s="5">
        <v>4</v>
      </c>
      <c r="AN30" s="5">
        <v>24</v>
      </c>
      <c r="AO30" s="5">
        <v>4</v>
      </c>
      <c r="AP30" s="5">
        <v>4</v>
      </c>
      <c r="AQ30" s="5">
        <v>19</v>
      </c>
      <c r="AR30" s="6">
        <v>14</v>
      </c>
      <c r="AS30" s="6">
        <v>16</v>
      </c>
      <c r="AT30" s="6">
        <v>4</v>
      </c>
      <c r="AU30" s="7">
        <v>700</v>
      </c>
      <c r="AV30">
        <v>14</v>
      </c>
      <c r="AW30">
        <v>17</v>
      </c>
      <c r="AX30">
        <v>20</v>
      </c>
      <c r="AY30">
        <f t="shared" si="0"/>
        <v>51</v>
      </c>
      <c r="AZ30">
        <v>30</v>
      </c>
      <c r="BA30">
        <v>29.49</v>
      </c>
      <c r="BB30">
        <v>3</v>
      </c>
      <c r="BC30">
        <v>3</v>
      </c>
      <c r="BD30">
        <v>3</v>
      </c>
      <c r="BE30">
        <v>3</v>
      </c>
      <c r="BF30">
        <v>3</v>
      </c>
      <c r="BG30">
        <v>3</v>
      </c>
      <c r="BH30">
        <v>18</v>
      </c>
      <c r="BI30">
        <v>17.5</v>
      </c>
      <c r="BJ30">
        <v>4</v>
      </c>
      <c r="BK30" t="s">
        <v>152</v>
      </c>
      <c r="BL30">
        <v>6.32</v>
      </c>
      <c r="BM30">
        <v>2.1</v>
      </c>
      <c r="BQ30" s="33"/>
    </row>
    <row r="31" spans="1:69">
      <c r="A31" s="12" t="s">
        <v>189</v>
      </c>
      <c r="B31">
        <v>58</v>
      </c>
      <c r="C31">
        <v>13</v>
      </c>
      <c r="D31" t="s">
        <v>106</v>
      </c>
      <c r="E31">
        <v>59</v>
      </c>
      <c r="F31" t="s">
        <v>190</v>
      </c>
      <c r="G31" t="s">
        <v>166</v>
      </c>
      <c r="H31" t="s">
        <v>166</v>
      </c>
      <c r="I31" t="s">
        <v>166</v>
      </c>
      <c r="J31">
        <v>800</v>
      </c>
      <c r="K31">
        <v>1.57</v>
      </c>
      <c r="N31">
        <v>1.5</v>
      </c>
      <c r="O31">
        <v>9</v>
      </c>
      <c r="P31" s="25"/>
      <c r="Q31">
        <v>6</v>
      </c>
      <c r="R31">
        <v>5</v>
      </c>
      <c r="S31">
        <v>3</v>
      </c>
      <c r="T31" s="18">
        <v>30</v>
      </c>
      <c r="U31" s="2">
        <v>94</v>
      </c>
      <c r="V31" s="2">
        <v>34</v>
      </c>
      <c r="W31" s="3">
        <v>25</v>
      </c>
      <c r="X31" s="3">
        <v>13</v>
      </c>
      <c r="Y31" s="3">
        <v>5</v>
      </c>
      <c r="Z31" s="3">
        <v>5</v>
      </c>
      <c r="AA31" s="8">
        <v>90</v>
      </c>
      <c r="AB31" s="3">
        <v>71</v>
      </c>
      <c r="AC31" s="3">
        <v>17</v>
      </c>
      <c r="AD31" s="3">
        <v>11</v>
      </c>
      <c r="AE31" s="8">
        <v>98</v>
      </c>
      <c r="AF31" s="3">
        <v>17</v>
      </c>
      <c r="AG31" s="3">
        <v>5</v>
      </c>
      <c r="AH31" s="4">
        <v>33</v>
      </c>
      <c r="AI31" s="4">
        <v>18</v>
      </c>
      <c r="AJ31" s="4">
        <v>3</v>
      </c>
      <c r="AK31" s="5">
        <v>27</v>
      </c>
      <c r="AL31" s="5">
        <v>15</v>
      </c>
      <c r="AM31" s="5">
        <v>66</v>
      </c>
      <c r="AN31" s="5">
        <v>3</v>
      </c>
      <c r="AO31" s="5">
        <v>63</v>
      </c>
      <c r="AP31" s="5">
        <v>33</v>
      </c>
      <c r="AQ31" s="5">
        <v>15</v>
      </c>
      <c r="AR31" s="6">
        <v>3</v>
      </c>
      <c r="AS31" s="6">
        <v>20</v>
      </c>
      <c r="AT31" s="6">
        <v>3</v>
      </c>
      <c r="AU31" s="7">
        <v>740</v>
      </c>
      <c r="AV31">
        <v>14</v>
      </c>
      <c r="AW31">
        <v>17</v>
      </c>
      <c r="AX31">
        <v>25</v>
      </c>
      <c r="AY31">
        <f t="shared" si="0"/>
        <v>56</v>
      </c>
      <c r="AZ31">
        <v>28</v>
      </c>
      <c r="BA31">
        <v>26.99</v>
      </c>
      <c r="BB31" s="6">
        <v>3</v>
      </c>
      <c r="BC31" s="6">
        <v>3</v>
      </c>
      <c r="BD31">
        <v>3</v>
      </c>
      <c r="BE31">
        <v>3</v>
      </c>
      <c r="BF31">
        <v>1</v>
      </c>
      <c r="BG31">
        <v>3</v>
      </c>
      <c r="BH31">
        <v>16</v>
      </c>
      <c r="BI31">
        <v>15.3</v>
      </c>
      <c r="BJ31">
        <v>2</v>
      </c>
      <c r="BK31" t="s">
        <v>189</v>
      </c>
      <c r="BL31">
        <v>2.81</v>
      </c>
      <c r="BM31">
        <v>1.57</v>
      </c>
      <c r="BQ31" s="33"/>
    </row>
    <row r="32" spans="1:69">
      <c r="A32" s="12" t="s">
        <v>191</v>
      </c>
      <c r="B32">
        <v>69</v>
      </c>
      <c r="C32">
        <v>8</v>
      </c>
      <c r="D32" t="s">
        <v>107</v>
      </c>
      <c r="E32">
        <v>80</v>
      </c>
      <c r="F32" t="s">
        <v>165</v>
      </c>
      <c r="G32" t="s">
        <v>166</v>
      </c>
      <c r="H32" t="s">
        <v>166</v>
      </c>
      <c r="I32" t="s">
        <v>166</v>
      </c>
      <c r="J32">
        <v>300</v>
      </c>
      <c r="K32">
        <v>0.27</v>
      </c>
      <c r="N32">
        <v>2</v>
      </c>
      <c r="O32">
        <v>18</v>
      </c>
      <c r="P32" s="25"/>
      <c r="Q32">
        <v>5</v>
      </c>
      <c r="R32">
        <v>4.5</v>
      </c>
      <c r="S32">
        <v>5</v>
      </c>
      <c r="T32" s="2">
        <v>35</v>
      </c>
      <c r="U32" s="2">
        <v>74</v>
      </c>
      <c r="V32" s="2">
        <v>0</v>
      </c>
      <c r="W32" s="3">
        <v>42</v>
      </c>
      <c r="X32" s="3">
        <v>8</v>
      </c>
      <c r="Y32" s="3">
        <v>0</v>
      </c>
      <c r="Z32" s="3">
        <v>30</v>
      </c>
      <c r="AA32" s="3">
        <v>55</v>
      </c>
      <c r="AB32" s="3">
        <v>55</v>
      </c>
      <c r="AC32" s="3">
        <v>34</v>
      </c>
      <c r="AD32" s="3">
        <v>26</v>
      </c>
      <c r="AE32" s="8">
        <v>103</v>
      </c>
      <c r="AF32" s="3">
        <v>24</v>
      </c>
      <c r="AG32" s="3">
        <v>0</v>
      </c>
      <c r="AH32" s="4">
        <v>0</v>
      </c>
      <c r="AI32" s="4">
        <v>0</v>
      </c>
      <c r="AJ32" s="4">
        <v>12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20</v>
      </c>
      <c r="AQ32" s="5">
        <v>0</v>
      </c>
      <c r="AR32" s="6">
        <v>0</v>
      </c>
      <c r="AS32" s="6">
        <v>0</v>
      </c>
      <c r="AT32" s="6">
        <v>0</v>
      </c>
      <c r="AU32" s="7">
        <v>700</v>
      </c>
      <c r="AV32">
        <v>11</v>
      </c>
      <c r="AW32">
        <v>14</v>
      </c>
      <c r="AX32">
        <v>26</v>
      </c>
      <c r="AY32">
        <f t="shared" si="0"/>
        <v>51</v>
      </c>
      <c r="AZ32">
        <v>29</v>
      </c>
      <c r="BA32">
        <v>27</v>
      </c>
      <c r="BB32">
        <v>2</v>
      </c>
      <c r="BC32">
        <v>3</v>
      </c>
      <c r="BD32">
        <v>3</v>
      </c>
      <c r="BE32">
        <v>3</v>
      </c>
      <c r="BF32">
        <v>3</v>
      </c>
      <c r="BG32">
        <v>3</v>
      </c>
      <c r="BH32">
        <v>17</v>
      </c>
      <c r="BI32">
        <v>17.399999999999999</v>
      </c>
      <c r="BJ32">
        <v>4</v>
      </c>
      <c r="BK32" t="s">
        <v>191</v>
      </c>
      <c r="BL32">
        <v>0.46</v>
      </c>
      <c r="BM32">
        <v>0.27</v>
      </c>
      <c r="BQ32" s="33"/>
    </row>
    <row r="33" spans="1:69">
      <c r="A33" s="14" t="s">
        <v>84</v>
      </c>
      <c r="B33">
        <v>64</v>
      </c>
      <c r="C33">
        <v>8</v>
      </c>
      <c r="D33" t="s">
        <v>107</v>
      </c>
      <c r="E33">
        <v>84</v>
      </c>
      <c r="F33" t="s">
        <v>165</v>
      </c>
      <c r="G33" t="s">
        <v>166</v>
      </c>
      <c r="H33" t="s">
        <v>167</v>
      </c>
      <c r="I33" t="s">
        <v>166</v>
      </c>
      <c r="J33">
        <v>425</v>
      </c>
      <c r="M33">
        <v>8</v>
      </c>
      <c r="N33">
        <v>2</v>
      </c>
      <c r="O33">
        <v>34</v>
      </c>
      <c r="P33">
        <v>667</v>
      </c>
      <c r="Q33">
        <v>6</v>
      </c>
      <c r="R33">
        <v>6</v>
      </c>
      <c r="S33">
        <v>5</v>
      </c>
      <c r="T33" s="2">
        <v>75</v>
      </c>
      <c r="U33" s="2">
        <v>70</v>
      </c>
      <c r="V33" s="2">
        <v>59</v>
      </c>
      <c r="W33" s="3">
        <v>63</v>
      </c>
      <c r="X33" s="3">
        <v>63</v>
      </c>
      <c r="Y33" s="3">
        <v>57</v>
      </c>
      <c r="Z33" s="3">
        <v>65</v>
      </c>
      <c r="AA33" s="3">
        <v>74</v>
      </c>
      <c r="AB33" s="8">
        <v>92</v>
      </c>
      <c r="AC33" s="3">
        <v>71</v>
      </c>
      <c r="AD33" s="3">
        <v>70</v>
      </c>
      <c r="AE33" s="3">
        <v>49</v>
      </c>
      <c r="AF33" s="3">
        <v>59</v>
      </c>
      <c r="AG33" s="3">
        <v>56</v>
      </c>
      <c r="AH33" s="4">
        <v>60</v>
      </c>
      <c r="AI33" s="4">
        <v>19</v>
      </c>
      <c r="AJ33" s="4">
        <v>63</v>
      </c>
      <c r="AK33" s="5">
        <v>102</v>
      </c>
      <c r="AL33" s="5">
        <v>39</v>
      </c>
      <c r="AM33" s="5">
        <v>61</v>
      </c>
      <c r="AN33" s="5">
        <v>19</v>
      </c>
      <c r="AO33" s="5">
        <v>63</v>
      </c>
      <c r="AP33" s="5">
        <v>61</v>
      </c>
      <c r="AQ33" s="5">
        <v>61</v>
      </c>
      <c r="AR33" s="6">
        <v>39</v>
      </c>
      <c r="AS33" s="6">
        <v>23</v>
      </c>
      <c r="AT33" s="6">
        <v>63</v>
      </c>
      <c r="AU33" s="7">
        <v>500</v>
      </c>
      <c r="AV33">
        <v>15</v>
      </c>
      <c r="AW33">
        <v>20</v>
      </c>
      <c r="AX33" s="1">
        <v>33</v>
      </c>
      <c r="AY33">
        <f>SUM(AV33:AX33)</f>
        <v>68</v>
      </c>
      <c r="AZ33">
        <v>29</v>
      </c>
      <c r="BA33">
        <v>29.53</v>
      </c>
      <c r="BB33">
        <v>2</v>
      </c>
      <c r="BC33">
        <v>0</v>
      </c>
      <c r="BD33">
        <v>3</v>
      </c>
      <c r="BE33">
        <v>3</v>
      </c>
      <c r="BF33">
        <v>3</v>
      </c>
      <c r="BG33">
        <v>3</v>
      </c>
      <c r="BH33">
        <v>14</v>
      </c>
      <c r="BI33">
        <v>14.3</v>
      </c>
      <c r="BJ33">
        <v>1</v>
      </c>
      <c r="BK33" t="s">
        <v>84</v>
      </c>
      <c r="BP33">
        <v>1.27</v>
      </c>
      <c r="BQ33" s="33">
        <v>8</v>
      </c>
    </row>
    <row r="34" spans="1:69">
      <c r="A34" s="12" t="s">
        <v>239</v>
      </c>
      <c r="B34">
        <v>64</v>
      </c>
      <c r="C34">
        <v>18</v>
      </c>
      <c r="D34" t="s">
        <v>107</v>
      </c>
      <c r="E34">
        <v>110</v>
      </c>
      <c r="F34" t="s">
        <v>165</v>
      </c>
      <c r="G34" t="s">
        <v>166</v>
      </c>
      <c r="H34" t="s">
        <v>166</v>
      </c>
      <c r="I34" t="s">
        <v>166</v>
      </c>
      <c r="J34">
        <v>550</v>
      </c>
      <c r="K34">
        <v>0.21</v>
      </c>
      <c r="N34">
        <v>2</v>
      </c>
      <c r="O34">
        <v>15</v>
      </c>
      <c r="Q34">
        <v>15</v>
      </c>
      <c r="R34">
        <v>5</v>
      </c>
      <c r="S34">
        <v>11</v>
      </c>
      <c r="T34" s="18">
        <v>26</v>
      </c>
      <c r="U34" s="2">
        <v>55</v>
      </c>
      <c r="V34" s="2">
        <v>38</v>
      </c>
      <c r="W34" s="3">
        <v>72</v>
      </c>
      <c r="X34" s="3">
        <v>31</v>
      </c>
      <c r="Y34" s="3">
        <v>14</v>
      </c>
      <c r="Z34" s="3">
        <v>36</v>
      </c>
      <c r="AA34" s="3">
        <v>61</v>
      </c>
      <c r="AB34" s="3">
        <v>56</v>
      </c>
      <c r="AC34" s="3">
        <v>14</v>
      </c>
      <c r="AD34" s="3">
        <v>6</v>
      </c>
      <c r="AE34" s="3">
        <v>66</v>
      </c>
      <c r="AF34" s="3">
        <v>18</v>
      </c>
      <c r="AG34" s="3">
        <v>21</v>
      </c>
      <c r="AH34" s="4">
        <v>19</v>
      </c>
      <c r="AI34" s="4">
        <v>4</v>
      </c>
      <c r="AJ34" s="4">
        <v>4</v>
      </c>
      <c r="AK34" s="5">
        <v>4</v>
      </c>
      <c r="AL34" s="5">
        <v>71</v>
      </c>
      <c r="AM34" s="5">
        <v>4</v>
      </c>
      <c r="AN34" s="5">
        <v>14</v>
      </c>
      <c r="AO34" s="5">
        <v>4</v>
      </c>
      <c r="AP34" s="5">
        <v>24</v>
      </c>
      <c r="AQ34" s="5">
        <v>19</v>
      </c>
      <c r="AR34" s="6">
        <v>14</v>
      </c>
      <c r="AS34" s="6">
        <v>52</v>
      </c>
      <c r="AT34" s="6">
        <v>4</v>
      </c>
      <c r="AU34" s="7">
        <v>0</v>
      </c>
      <c r="AV34">
        <v>17</v>
      </c>
      <c r="AW34">
        <v>17</v>
      </c>
      <c r="AX34">
        <v>25</v>
      </c>
      <c r="AY34">
        <f>SUM(AV34:AX34)</f>
        <v>59</v>
      </c>
      <c r="BK34" t="s">
        <v>239</v>
      </c>
      <c r="BL34">
        <v>2.0699999999999998</v>
      </c>
      <c r="BM34">
        <v>0.21</v>
      </c>
    </row>
    <row r="35" spans="1:69">
      <c r="BM35">
        <f>AVERAGE(BM4:BM34)</f>
        <v>1.2245000000000001</v>
      </c>
    </row>
    <row r="37" spans="1:69">
      <c r="A37" t="s">
        <v>109</v>
      </c>
      <c r="B37" s="2">
        <f>AVERAGE(B4:B34)</f>
        <v>66.483870967741936</v>
      </c>
      <c r="C37" s="2">
        <f>AVERAGE(C4:C34)</f>
        <v>12</v>
      </c>
      <c r="D37" s="2" t="s">
        <v>240</v>
      </c>
      <c r="E37">
        <f>AVERAGE(E4:E34)</f>
        <v>75.129032258064512</v>
      </c>
      <c r="F37" t="s">
        <v>250</v>
      </c>
      <c r="G37" t="s">
        <v>241</v>
      </c>
      <c r="H37" t="s">
        <v>242</v>
      </c>
      <c r="I37" t="s">
        <v>243</v>
      </c>
      <c r="J37">
        <f>AVERAGE(J4:J34)</f>
        <v>431.45161290322579</v>
      </c>
      <c r="K37">
        <f>AVERAGE(K4:K6,K10:K15,K18,K20:K21,K23:K24,K28:K32,K34)</f>
        <v>1.2245000000000001</v>
      </c>
      <c r="L37">
        <f>AVERAGE(L7:L9,L19,L22,L25:L27)</f>
        <v>7.333333333333333</v>
      </c>
      <c r="M37">
        <f>AVERAGE(M16:M17,M21:M22,M33)</f>
        <v>6.8</v>
      </c>
      <c r="N37">
        <f t="shared" ref="N37:BJ37" si="1">AVERAGE(N4:N34)</f>
        <v>2.064516129032258</v>
      </c>
      <c r="O37">
        <f t="shared" si="1"/>
        <v>25.548387096774192</v>
      </c>
      <c r="P37">
        <f>AVERAGE(P4:P34)</f>
        <v>593.42105263157896</v>
      </c>
      <c r="Q37">
        <f t="shared" si="1"/>
        <v>7.6967741935483867</v>
      </c>
      <c r="R37">
        <f t="shared" si="1"/>
        <v>5.5580645161290327</v>
      </c>
      <c r="S37">
        <f t="shared" si="1"/>
        <v>6.4866666666666664</v>
      </c>
      <c r="T37">
        <f>AVERAGE(T4:T34)</f>
        <v>46.258064516129032</v>
      </c>
      <c r="U37">
        <f t="shared" si="1"/>
        <v>70.387096774193552</v>
      </c>
      <c r="V37">
        <f t="shared" si="1"/>
        <v>42.29032258064516</v>
      </c>
      <c r="W37">
        <f t="shared" si="1"/>
        <v>52.58064516129032</v>
      </c>
      <c r="X37">
        <f t="shared" si="1"/>
        <v>39.677419354838712</v>
      </c>
      <c r="Y37">
        <f t="shared" si="1"/>
        <v>24.870967741935484</v>
      </c>
      <c r="Z37">
        <f t="shared" si="1"/>
        <v>40.677419354838712</v>
      </c>
      <c r="AA37">
        <f t="shared" si="1"/>
        <v>63.806451612903224</v>
      </c>
      <c r="AB37">
        <f t="shared" si="1"/>
        <v>62.838709677419352</v>
      </c>
      <c r="AC37">
        <f t="shared" si="1"/>
        <v>34.935483870967744</v>
      </c>
      <c r="AD37">
        <f t="shared" si="1"/>
        <v>34.322580645161288</v>
      </c>
      <c r="AE37">
        <f t="shared" si="1"/>
        <v>85.483870967741936</v>
      </c>
      <c r="AF37">
        <f t="shared" si="1"/>
        <v>35.29032258064516</v>
      </c>
      <c r="AG37">
        <f t="shared" si="1"/>
        <v>18.677419354838708</v>
      </c>
      <c r="AH37">
        <f t="shared" si="1"/>
        <v>30.161290322580644</v>
      </c>
      <c r="AI37">
        <f t="shared" si="1"/>
        <v>16.64516129032258</v>
      </c>
      <c r="AJ37">
        <f t="shared" si="1"/>
        <v>39.41935483870968</v>
      </c>
      <c r="AK37">
        <f t="shared" si="1"/>
        <v>43.29032258064516</v>
      </c>
      <c r="AL37">
        <f t="shared" si="1"/>
        <v>41.483870967741936</v>
      </c>
      <c r="AM37">
        <f t="shared" si="1"/>
        <v>33.645161290322584</v>
      </c>
      <c r="AN37">
        <f t="shared" si="1"/>
        <v>34.12903225806452</v>
      </c>
      <c r="AO37">
        <f t="shared" si="1"/>
        <v>29.096774193548388</v>
      </c>
      <c r="AP37">
        <f t="shared" si="1"/>
        <v>34.58064516129032</v>
      </c>
      <c r="AQ37">
        <f t="shared" si="1"/>
        <v>28.322580645161292</v>
      </c>
      <c r="AR37">
        <f t="shared" si="1"/>
        <v>28.93548387096774</v>
      </c>
      <c r="AS37">
        <f t="shared" si="1"/>
        <v>31.548387096774192</v>
      </c>
      <c r="AT37">
        <f t="shared" si="1"/>
        <v>25.419354838709676</v>
      </c>
      <c r="AV37">
        <f>AVERAGE(AV4:AV34)</f>
        <v>14.806451612903226</v>
      </c>
      <c r="AW37">
        <f t="shared" si="1"/>
        <v>17.967741935483872</v>
      </c>
      <c r="AX37">
        <f>AVERAGE(AX4:AX34)</f>
        <v>24</v>
      </c>
      <c r="AY37">
        <f>AVERAGE(AY4:AY34)</f>
        <v>56.774193548387096</v>
      </c>
      <c r="AZ37">
        <f t="shared" si="1"/>
        <v>28.6</v>
      </c>
      <c r="BA37">
        <f t="shared" si="1"/>
        <v>27.330666666666669</v>
      </c>
      <c r="BB37">
        <f t="shared" si="1"/>
        <v>2.8333333333333335</v>
      </c>
      <c r="BC37">
        <f t="shared" si="1"/>
        <v>2.3666666666666667</v>
      </c>
      <c r="BD37">
        <f t="shared" si="1"/>
        <v>2.7666666666666666</v>
      </c>
      <c r="BE37">
        <f t="shared" si="1"/>
        <v>2.6</v>
      </c>
      <c r="BF37">
        <f t="shared" si="1"/>
        <v>2</v>
      </c>
      <c r="BG37">
        <f t="shared" si="1"/>
        <v>3</v>
      </c>
      <c r="BH37">
        <f t="shared" si="1"/>
        <v>15.566666666666666</v>
      </c>
      <c r="BI37">
        <f t="shared" si="1"/>
        <v>15.618666666666664</v>
      </c>
      <c r="BJ37">
        <f t="shared" si="1"/>
        <v>2.6666666666666665</v>
      </c>
      <c r="BL37">
        <f>AVERAGE(BL4:BL34)</f>
        <v>3.9065000000000003</v>
      </c>
      <c r="BM37">
        <v>1.2245000000000001</v>
      </c>
      <c r="BN37">
        <f>AVERAGE(BN7:BN25)</f>
        <v>7.5166666666666657</v>
      </c>
      <c r="BO37">
        <f>AVERAGE(BO7:BO25)</f>
        <v>7.1428571428571432</v>
      </c>
      <c r="BP37">
        <f>AVERAGE(BP16:BP33)</f>
        <v>0.55999999999999994</v>
      </c>
      <c r="BQ37">
        <f>AVERAGE(BQ16:BQ33)</f>
        <v>6.4</v>
      </c>
    </row>
    <row r="38" spans="1:69">
      <c r="A38" t="s">
        <v>150</v>
      </c>
      <c r="B38">
        <f>STDEV(B4:B34)</f>
        <v>7.7065814632340466</v>
      </c>
      <c r="C38">
        <f t="shared" ref="C38:BJ38" si="2">STDEV(C4:C34)</f>
        <v>3.723797345005051</v>
      </c>
      <c r="D38" t="e">
        <f t="shared" si="2"/>
        <v>#DIV/0!</v>
      </c>
      <c r="E38">
        <f t="shared" si="2"/>
        <v>13.200358418073007</v>
      </c>
      <c r="J38">
        <f t="shared" si="2"/>
        <v>265.67271076893059</v>
      </c>
      <c r="K38">
        <f>STDEV(K4:K6,K10:K15,K18,K20:K21,K23:K24,K28:K32,K34)</f>
        <v>0.87951825928803329</v>
      </c>
      <c r="L38">
        <f>STDEV(L7:L9,L19,L22,L25:L27)</f>
        <v>2.7325202042558923</v>
      </c>
      <c r="M38">
        <f>STDEV(M16:M17,M21:M22,M33)</f>
        <v>1.7888543819998326</v>
      </c>
      <c r="N38">
        <f t="shared" si="2"/>
        <v>0.782537916907449</v>
      </c>
      <c r="O38">
        <f t="shared" si="2"/>
        <v>15.255247642865756</v>
      </c>
      <c r="P38">
        <f t="shared" si="2"/>
        <v>347.61094404672104</v>
      </c>
      <c r="Q38">
        <f t="shared" si="2"/>
        <v>4.358553572839484</v>
      </c>
      <c r="R38">
        <f t="shared" si="2"/>
        <v>4.0515654746898662</v>
      </c>
      <c r="S38">
        <f t="shared" si="2"/>
        <v>4.3428683778266226</v>
      </c>
      <c r="T38">
        <f t="shared" si="2"/>
        <v>19.623060824678507</v>
      </c>
      <c r="U38">
        <f t="shared" si="2"/>
        <v>14.739238830086249</v>
      </c>
      <c r="V38">
        <f t="shared" si="2"/>
        <v>25.714060418879914</v>
      </c>
      <c r="W38">
        <f t="shared" si="2"/>
        <v>20.88823304087477</v>
      </c>
      <c r="X38">
        <f t="shared" si="2"/>
        <v>27.93371570554622</v>
      </c>
      <c r="Y38">
        <f t="shared" si="2"/>
        <v>22.553258353630223</v>
      </c>
      <c r="Z38">
        <f t="shared" si="2"/>
        <v>30.762950765245947</v>
      </c>
      <c r="AA38">
        <f t="shared" si="2"/>
        <v>19.369080781559582</v>
      </c>
      <c r="AB38">
        <f t="shared" si="2"/>
        <v>15.629239209877419</v>
      </c>
      <c r="AC38">
        <f t="shared" si="2"/>
        <v>21.435073258363211</v>
      </c>
      <c r="AD38">
        <f t="shared" si="2"/>
        <v>22.45497286686432</v>
      </c>
      <c r="AE38">
        <f t="shared" si="2"/>
        <v>17.446816266856903</v>
      </c>
      <c r="AF38">
        <f t="shared" si="2"/>
        <v>23.842809605675107</v>
      </c>
      <c r="AG38">
        <f t="shared" si="2"/>
        <v>20.574072837391228</v>
      </c>
      <c r="AH38">
        <f t="shared" si="2"/>
        <v>27.314339059907159</v>
      </c>
      <c r="AI38">
        <f t="shared" si="2"/>
        <v>19.345194729952578</v>
      </c>
      <c r="AJ38">
        <f t="shared" si="2"/>
        <v>28.065131620985245</v>
      </c>
      <c r="AK38">
        <f t="shared" si="2"/>
        <v>39.680552372152533</v>
      </c>
      <c r="AL38">
        <f t="shared" si="2"/>
        <v>34.531986107319817</v>
      </c>
      <c r="AM38">
        <f t="shared" si="2"/>
        <v>24.543224981104625</v>
      </c>
      <c r="AN38">
        <f t="shared" si="2"/>
        <v>33.408324247592219</v>
      </c>
      <c r="AO38">
        <f t="shared" si="2"/>
        <v>25.327659240060957</v>
      </c>
      <c r="AP38">
        <f t="shared" si="2"/>
        <v>24.334850446151485</v>
      </c>
      <c r="AQ38">
        <f t="shared" si="2"/>
        <v>27.577027996473433</v>
      </c>
      <c r="AR38">
        <f t="shared" si="2"/>
        <v>24.091403008640473</v>
      </c>
      <c r="AS38">
        <f t="shared" si="2"/>
        <v>30.182598418821197</v>
      </c>
      <c r="AT38">
        <f t="shared" si="2"/>
        <v>24.049635054124192</v>
      </c>
      <c r="AU38">
        <f t="shared" si="2"/>
        <v>398.4971769034255</v>
      </c>
      <c r="AV38">
        <f t="shared" si="2"/>
        <v>2.6635734748480253</v>
      </c>
      <c r="AW38">
        <f t="shared" si="2"/>
        <v>2.6010750465623698</v>
      </c>
      <c r="AX38">
        <f>STDEV(AX4:AX34)</f>
        <v>4.553387017741116</v>
      </c>
      <c r="AY38">
        <f t="shared" si="2"/>
        <v>7.2970755668251837</v>
      </c>
      <c r="AZ38">
        <f t="shared" si="2"/>
        <v>1.0699661612438485</v>
      </c>
      <c r="BA38">
        <f t="shared" si="2"/>
        <v>1.1481557425695355</v>
      </c>
      <c r="BB38">
        <f t="shared" si="2"/>
        <v>0.37904902178945127</v>
      </c>
      <c r="BC38">
        <f t="shared" si="2"/>
        <v>0.92785749995884881</v>
      </c>
      <c r="BD38">
        <f t="shared" si="2"/>
        <v>0.50400693299373112</v>
      </c>
      <c r="BE38">
        <f t="shared" si="2"/>
        <v>0.81367620434497223</v>
      </c>
      <c r="BF38">
        <f t="shared" si="2"/>
        <v>1.0827805840074194</v>
      </c>
      <c r="BG38">
        <f t="shared" si="2"/>
        <v>0</v>
      </c>
      <c r="BH38">
        <f t="shared" si="2"/>
        <v>2.4869775775556104</v>
      </c>
      <c r="BI38">
        <f t="shared" si="2"/>
        <v>2.0444976338241707</v>
      </c>
      <c r="BJ38">
        <f t="shared" si="2"/>
        <v>1.3476245597431757</v>
      </c>
    </row>
    <row r="39" spans="1:69">
      <c r="T39" s="2"/>
      <c r="U39" s="2"/>
      <c r="V39" s="2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4"/>
      <c r="AI39" s="4"/>
      <c r="AJ39" s="4"/>
      <c r="AK39" s="5"/>
      <c r="AL39" s="5"/>
      <c r="AM39" s="5"/>
      <c r="AN39" s="5"/>
      <c r="AO39" s="5"/>
      <c r="AP39" s="5"/>
      <c r="AQ39" s="5"/>
      <c r="AR39" s="6"/>
      <c r="AS39" s="6"/>
      <c r="AT39" s="6"/>
      <c r="AU39" s="7"/>
    </row>
    <row r="40" spans="1:69">
      <c r="F40">
        <f>29/31</f>
        <v>0.93548387096774188</v>
      </c>
      <c r="G40">
        <f>8/31</f>
        <v>0.25806451612903225</v>
      </c>
      <c r="H40">
        <f>15/31</f>
        <v>0.4838709677419355</v>
      </c>
      <c r="I40">
        <f>5/31</f>
        <v>0.16129032258064516</v>
      </c>
      <c r="S40" t="s">
        <v>192</v>
      </c>
      <c r="T40" s="2">
        <f>9/30</f>
        <v>0.3</v>
      </c>
      <c r="U40" s="2">
        <f>11/30</f>
        <v>0.36666666666666664</v>
      </c>
      <c r="V40" s="2">
        <f>4/30</f>
        <v>0.13333333333333333</v>
      </c>
      <c r="W40" s="3">
        <f>2/30</f>
        <v>6.6666666666666666E-2</v>
      </c>
      <c r="X40" s="3">
        <f>4/30</f>
        <v>0.13333333333333333</v>
      </c>
      <c r="Y40" s="3">
        <v>0</v>
      </c>
      <c r="Z40" s="3">
        <f>5/30</f>
        <v>0.16666666666666666</v>
      </c>
      <c r="AA40" s="3">
        <f>8/30</f>
        <v>0.26666666666666666</v>
      </c>
      <c r="AB40" s="3">
        <f>5/30</f>
        <v>0.16666666666666666</v>
      </c>
      <c r="AC40" s="3">
        <v>0</v>
      </c>
      <c r="AD40" s="3">
        <v>0</v>
      </c>
      <c r="AE40" s="3">
        <f>24/30</f>
        <v>0.8</v>
      </c>
      <c r="AF40" s="3">
        <f>3/30</f>
        <v>0.1</v>
      </c>
      <c r="AG40" s="3">
        <v>0</v>
      </c>
      <c r="AH40" s="4">
        <v>0</v>
      </c>
      <c r="AI40" s="4">
        <v>0</v>
      </c>
      <c r="AJ40" s="4">
        <f>1/30</f>
        <v>3.3333333333333333E-2</v>
      </c>
      <c r="AK40" s="5">
        <f>10/30</f>
        <v>0.33333333333333331</v>
      </c>
      <c r="AL40" s="5">
        <f>6/30</f>
        <v>0.2</v>
      </c>
      <c r="AM40" s="5">
        <v>0</v>
      </c>
      <c r="AN40" s="5">
        <f>7/30</f>
        <v>0.23333333333333334</v>
      </c>
      <c r="AO40" s="5">
        <v>0</v>
      </c>
      <c r="AP40" s="5"/>
      <c r="AQ40" s="5">
        <v>0</v>
      </c>
      <c r="AR40" s="6">
        <v>0</v>
      </c>
      <c r="AS40" s="6">
        <f>5/30</f>
        <v>0.16666666666666666</v>
      </c>
      <c r="AT40" s="6">
        <f>1/30</f>
        <v>3.3333333333333333E-2</v>
      </c>
      <c r="AU40" s="7"/>
      <c r="AV40">
        <f>1/30</f>
        <v>3.3333333333333333E-2</v>
      </c>
      <c r="AW40">
        <v>0</v>
      </c>
      <c r="AX40">
        <f>6/30</f>
        <v>0.2</v>
      </c>
      <c r="AY40">
        <f>1/30</f>
        <v>3.3333333333333333E-2</v>
      </c>
      <c r="BA40">
        <v>0</v>
      </c>
      <c r="BJ40">
        <f>3/30</f>
        <v>0.1</v>
      </c>
    </row>
    <row r="41" spans="1:69">
      <c r="T41" s="2"/>
      <c r="U41" s="2"/>
      <c r="V41" s="2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4"/>
      <c r="AI41" s="4"/>
      <c r="AJ41" s="4"/>
      <c r="AK41" s="5"/>
      <c r="AL41" s="5"/>
      <c r="AM41" s="5"/>
      <c r="AN41" s="5"/>
      <c r="AO41" s="5"/>
      <c r="AP41" s="5"/>
      <c r="AQ41" s="5"/>
      <c r="AR41" s="6"/>
      <c r="AS41" s="6"/>
      <c r="AT41" s="6"/>
      <c r="AU41" s="7"/>
      <c r="BB41" t="s">
        <v>235</v>
      </c>
      <c r="BD41" t="s">
        <v>236</v>
      </c>
      <c r="BF41" t="s">
        <v>237</v>
      </c>
    </row>
    <row r="42" spans="1:69">
      <c r="BB42">
        <f>SUM(BB37:BC37)</f>
        <v>5.2</v>
      </c>
      <c r="BD42">
        <f>SUM(BD37:BE37)</f>
        <v>5.3666666666666671</v>
      </c>
      <c r="BF42">
        <f>SUM(BF37:BG37)</f>
        <v>5</v>
      </c>
    </row>
    <row r="43" spans="1:69">
      <c r="BB43">
        <f>STDEV(BB4:BC33)</f>
        <v>0.74104827263335615</v>
      </c>
      <c r="BD43">
        <f>STDEV(BD4:BE33)</f>
        <v>0.67627260240849763</v>
      </c>
      <c r="BF43">
        <f>STDEV(BF4:BG33)</f>
        <v>0.91132237686576711</v>
      </c>
    </row>
    <row r="44" spans="1:69">
      <c r="B44" s="2"/>
      <c r="C44" s="2"/>
      <c r="D44" s="2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4"/>
      <c r="S44" s="4"/>
      <c r="T44" s="4"/>
      <c r="U44" s="5"/>
      <c r="V44" s="5"/>
      <c r="W44" s="5"/>
      <c r="X44" s="5"/>
      <c r="Y44" s="5"/>
      <c r="Z44" s="5"/>
      <c r="AA44" s="5"/>
      <c r="AB44" s="6"/>
      <c r="AC44" s="6"/>
      <c r="AD44" s="6"/>
      <c r="AE44" s="7"/>
    </row>
    <row r="45" spans="1:69">
      <c r="B45" s="2"/>
      <c r="C45" s="2"/>
      <c r="D45" s="2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4"/>
      <c r="S45" s="4"/>
      <c r="T45" s="4"/>
      <c r="U45" s="5"/>
      <c r="V45" s="5"/>
      <c r="W45" s="5"/>
      <c r="X45" s="5"/>
      <c r="Y45" s="5"/>
      <c r="Z45" s="5"/>
      <c r="AA45" s="5"/>
      <c r="AB45" s="6"/>
      <c r="AC45" s="6"/>
      <c r="AD45" s="6"/>
      <c r="AE45" s="7"/>
    </row>
    <row r="46" spans="1:69">
      <c r="B46" s="2"/>
      <c r="C46" s="2"/>
      <c r="D46" s="2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4"/>
      <c r="S46" s="4"/>
      <c r="T46" s="4"/>
      <c r="U46" s="5"/>
      <c r="V46" s="5"/>
      <c r="W46" s="5"/>
      <c r="X46" s="5"/>
      <c r="Y46" s="5"/>
      <c r="Z46" s="5"/>
      <c r="AA46" s="5"/>
      <c r="AB46" s="6"/>
      <c r="AC46" s="6"/>
      <c r="AD46" s="6"/>
      <c r="AE46" s="7"/>
    </row>
    <row r="47" spans="1:69">
      <c r="B47" s="2"/>
      <c r="C47" s="2"/>
      <c r="D47" s="2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4"/>
      <c r="S47" s="4"/>
      <c r="T47" s="4"/>
      <c r="U47" s="5"/>
      <c r="V47" s="5"/>
      <c r="W47" s="5"/>
      <c r="X47" s="5"/>
      <c r="Y47" s="5"/>
      <c r="Z47" s="5"/>
      <c r="AA47" s="5"/>
      <c r="AB47" s="6"/>
      <c r="AC47" s="6"/>
      <c r="AD47" s="6"/>
      <c r="AE47" s="7"/>
    </row>
    <row r="48" spans="1:69">
      <c r="B48" s="2"/>
      <c r="C48" s="2"/>
      <c r="D48" s="2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4"/>
      <c r="S48" s="4"/>
      <c r="T48" s="4"/>
      <c r="U48" s="5"/>
      <c r="V48" s="5"/>
      <c r="W48" s="5"/>
      <c r="X48" s="5"/>
      <c r="Y48" s="5"/>
      <c r="Z48" s="5"/>
      <c r="AA48" s="5"/>
      <c r="AB48" s="6"/>
      <c r="AC48" s="6"/>
      <c r="AD48" s="6"/>
      <c r="AE48" s="7"/>
    </row>
    <row r="49" spans="2:31">
      <c r="B49" s="2"/>
      <c r="C49" s="2"/>
      <c r="D49" s="2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4"/>
      <c r="S49" s="4"/>
      <c r="T49" s="4"/>
      <c r="U49" s="5"/>
      <c r="V49" s="5"/>
      <c r="W49" s="5"/>
      <c r="X49" s="5"/>
      <c r="Y49" s="5"/>
      <c r="Z49" s="5"/>
      <c r="AA49" s="5"/>
      <c r="AB49" s="6"/>
      <c r="AC49" s="6"/>
      <c r="AD49" s="6"/>
      <c r="AE49" s="7"/>
    </row>
    <row r="50" spans="2:31">
      <c r="B50" s="2"/>
      <c r="C50" s="2"/>
      <c r="D50" s="2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4"/>
      <c r="S50" s="4"/>
      <c r="T50" s="4"/>
      <c r="U50" s="5"/>
      <c r="V50" s="5"/>
      <c r="W50" s="5"/>
      <c r="X50" s="5"/>
      <c r="Y50" s="5"/>
      <c r="Z50" s="5"/>
      <c r="AA50" s="5"/>
      <c r="AB50" s="6"/>
      <c r="AC50" s="6"/>
      <c r="AD50" s="6"/>
      <c r="AE50" s="7"/>
    </row>
    <row r="51" spans="2:31">
      <c r="B51" s="2"/>
      <c r="C51" s="2"/>
      <c r="D51" s="2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4"/>
      <c r="S51" s="4"/>
      <c r="T51" s="4"/>
      <c r="U51" s="5"/>
      <c r="V51" s="5"/>
      <c r="W51" s="5"/>
      <c r="X51" s="5"/>
      <c r="Y51" s="5"/>
      <c r="Z51" s="5"/>
      <c r="AA51" s="5"/>
      <c r="AB51" s="6"/>
      <c r="AC51" s="6"/>
      <c r="AD51" s="6"/>
      <c r="AE51" s="7"/>
    </row>
    <row r="52" spans="2:31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4"/>
      <c r="S52" s="4"/>
      <c r="T52" s="4"/>
      <c r="U52" s="5"/>
      <c r="V52" s="5"/>
      <c r="W52" s="5"/>
      <c r="X52" s="5"/>
      <c r="Y52" s="5"/>
      <c r="Z52" s="5"/>
      <c r="AA52" s="5"/>
      <c r="AB52" s="6"/>
      <c r="AC52" s="6"/>
      <c r="AD52" s="6"/>
      <c r="AE52" s="7"/>
    </row>
    <row r="53" spans="2:31">
      <c r="B53" s="2"/>
      <c r="C53" s="2"/>
      <c r="D53" s="2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4"/>
      <c r="S53" s="4"/>
      <c r="T53" s="4"/>
      <c r="U53" s="5"/>
      <c r="V53" s="5"/>
      <c r="W53" s="5"/>
      <c r="X53" s="5"/>
      <c r="Y53" s="5"/>
      <c r="Z53" s="5"/>
      <c r="AA53" s="5"/>
      <c r="AB53" s="6"/>
      <c r="AC53" s="6"/>
      <c r="AD53" s="6"/>
      <c r="AE53" s="7"/>
    </row>
    <row r="54" spans="2:31">
      <c r="B54" s="2"/>
      <c r="C54" s="2"/>
      <c r="D54" s="2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4"/>
      <c r="S54" s="4"/>
      <c r="T54" s="4"/>
      <c r="U54" s="5"/>
      <c r="V54" s="5"/>
      <c r="W54" s="5"/>
      <c r="X54" s="5"/>
      <c r="Y54" s="5"/>
      <c r="Z54" s="5"/>
      <c r="AA54" s="5"/>
      <c r="AB54" s="6"/>
      <c r="AC54" s="6"/>
      <c r="AD54" s="6"/>
      <c r="AE54" s="7"/>
    </row>
    <row r="55" spans="2:31">
      <c r="B55" s="2"/>
      <c r="C55" s="2"/>
      <c r="D55" s="2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4"/>
      <c r="S55" s="4"/>
      <c r="T55" s="4"/>
      <c r="U55" s="5"/>
      <c r="V55" s="5"/>
      <c r="W55" s="5"/>
      <c r="X55" s="5"/>
      <c r="Y55" s="5"/>
      <c r="Z55" s="5"/>
      <c r="AA55" s="5"/>
      <c r="AB55" s="6"/>
      <c r="AC55" s="6"/>
      <c r="AD55" s="6"/>
      <c r="AE55" s="7"/>
    </row>
    <row r="56" spans="2:31">
      <c r="B56" s="2"/>
      <c r="C56" s="2"/>
      <c r="D56" s="2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4"/>
      <c r="S56" s="4"/>
      <c r="T56" s="4"/>
      <c r="U56" s="5"/>
      <c r="V56" s="5"/>
      <c r="W56" s="5"/>
      <c r="X56" s="5"/>
      <c r="Y56" s="5"/>
      <c r="Z56" s="5"/>
      <c r="AA56" s="5"/>
      <c r="AB56" s="6"/>
      <c r="AC56" s="6"/>
      <c r="AD56" s="6"/>
      <c r="AE56" s="7"/>
    </row>
    <row r="57" spans="2:31">
      <c r="B57" s="2"/>
      <c r="C57" s="2"/>
      <c r="D57" s="2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4"/>
      <c r="S57" s="4"/>
      <c r="T57" s="4"/>
      <c r="U57" s="5"/>
      <c r="V57" s="5"/>
      <c r="W57" s="5"/>
      <c r="X57" s="5"/>
      <c r="Y57" s="5"/>
      <c r="Z57" s="5"/>
      <c r="AA57" s="5"/>
      <c r="AB57" s="6"/>
      <c r="AC57" s="6"/>
      <c r="AD57" s="6"/>
      <c r="AE57" s="7"/>
    </row>
    <row r="58" spans="2:31">
      <c r="B58" s="2"/>
      <c r="C58" s="2"/>
      <c r="D58" s="2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4"/>
      <c r="S58" s="4"/>
      <c r="T58" s="4"/>
      <c r="U58" s="5"/>
      <c r="V58" s="5"/>
      <c r="W58" s="5"/>
      <c r="X58" s="5"/>
      <c r="Y58" s="5"/>
      <c r="Z58" s="5"/>
      <c r="AA58" s="5"/>
      <c r="AB58" s="6"/>
      <c r="AC58" s="6"/>
      <c r="AD58" s="6"/>
      <c r="AE58" s="7"/>
    </row>
    <row r="59" spans="2:31">
      <c r="B59" s="2"/>
      <c r="C59" s="2"/>
      <c r="D59" s="2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4"/>
      <c r="S59" s="4"/>
      <c r="T59" s="4"/>
      <c r="U59" s="5"/>
      <c r="V59" s="5"/>
      <c r="W59" s="5"/>
      <c r="X59" s="5"/>
      <c r="Y59" s="5"/>
      <c r="Z59" s="5"/>
      <c r="AA59" s="5"/>
      <c r="AB59" s="6"/>
      <c r="AC59" s="6"/>
      <c r="AD59" s="6"/>
      <c r="AE59" s="7"/>
    </row>
    <row r="60" spans="2:31">
      <c r="B60" s="2"/>
      <c r="C60" s="2"/>
      <c r="D60" s="2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4"/>
      <c r="S60" s="4"/>
      <c r="T60" s="4"/>
      <c r="U60" s="5"/>
      <c r="V60" s="5"/>
      <c r="W60" s="5"/>
      <c r="X60" s="5"/>
      <c r="Y60" s="5"/>
      <c r="Z60" s="5"/>
      <c r="AA60" s="5"/>
      <c r="AB60" s="6"/>
      <c r="AC60" s="6"/>
      <c r="AD60" s="6"/>
      <c r="AE60" s="7"/>
    </row>
    <row r="61" spans="2:31">
      <c r="B61" s="2"/>
      <c r="C61" s="2"/>
      <c r="D61" s="2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4"/>
      <c r="S61" s="4"/>
      <c r="T61" s="4"/>
      <c r="U61" s="5"/>
      <c r="V61" s="5"/>
      <c r="W61" s="5"/>
      <c r="X61" s="5"/>
      <c r="Y61" s="5"/>
      <c r="Z61" s="5"/>
      <c r="AA61" s="5"/>
      <c r="AB61" s="6"/>
      <c r="AC61" s="6"/>
      <c r="AD61" s="6"/>
      <c r="AE61" s="7"/>
    </row>
    <row r="62" spans="2:31">
      <c r="B62" s="2"/>
      <c r="C62" s="2"/>
      <c r="D62" s="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4"/>
      <c r="S62" s="4"/>
      <c r="T62" s="4"/>
      <c r="U62" s="5"/>
      <c r="V62" s="5"/>
      <c r="W62" s="5"/>
      <c r="X62" s="5"/>
      <c r="Y62" s="5"/>
      <c r="Z62" s="5"/>
      <c r="AA62" s="5"/>
      <c r="AB62" s="6"/>
      <c r="AC62" s="6"/>
      <c r="AD62" s="6"/>
      <c r="AE62" s="7"/>
    </row>
    <row r="63" spans="2:31">
      <c r="B63" s="2"/>
      <c r="C63" s="2"/>
      <c r="D63" s="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4"/>
      <c r="S63" s="4"/>
      <c r="T63" s="4"/>
      <c r="U63" s="5"/>
      <c r="V63" s="5"/>
      <c r="W63" s="5"/>
      <c r="X63" s="5"/>
      <c r="Y63" s="5"/>
      <c r="Z63" s="5"/>
      <c r="AA63" s="5"/>
      <c r="AB63" s="6"/>
      <c r="AC63" s="6"/>
      <c r="AD63" s="6"/>
      <c r="AE63" s="7"/>
    </row>
    <row r="64" spans="2:31">
      <c r="B64" s="2"/>
      <c r="C64" s="2"/>
      <c r="D64" s="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4"/>
      <c r="S64" s="4"/>
      <c r="T64" s="4"/>
      <c r="U64" s="5"/>
      <c r="V64" s="5"/>
      <c r="W64" s="5"/>
      <c r="X64" s="5"/>
      <c r="Y64" s="5"/>
      <c r="Z64" s="5"/>
      <c r="AA64" s="5"/>
      <c r="AB64" s="6"/>
      <c r="AC64" s="6"/>
      <c r="AD64" s="6"/>
      <c r="AE64" s="7"/>
    </row>
    <row r="65" spans="2:31">
      <c r="B65" s="2"/>
      <c r="C65" s="2"/>
      <c r="D65" s="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4"/>
      <c r="S65" s="4"/>
      <c r="T65" s="4"/>
      <c r="U65" s="5"/>
      <c r="V65" s="5"/>
      <c r="W65" s="5"/>
      <c r="X65" s="5"/>
      <c r="Y65" s="5"/>
      <c r="Z65" s="5"/>
      <c r="AA65" s="5"/>
      <c r="AB65" s="6"/>
      <c r="AC65" s="6"/>
      <c r="AD65" s="6"/>
      <c r="AE65" s="7"/>
    </row>
    <row r="66" spans="2:31">
      <c r="B66" s="2"/>
      <c r="C66" s="2"/>
      <c r="D66" s="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4"/>
      <c r="S66" s="4"/>
      <c r="T66" s="4"/>
      <c r="U66" s="5"/>
      <c r="V66" s="5"/>
      <c r="W66" s="5"/>
      <c r="X66" s="5"/>
      <c r="Y66" s="5"/>
      <c r="Z66" s="5"/>
      <c r="AA66" s="5"/>
      <c r="AB66" s="6"/>
      <c r="AC66" s="6"/>
      <c r="AD66" s="6"/>
      <c r="AE66" s="7"/>
    </row>
    <row r="67" spans="2:31">
      <c r="B67" s="2"/>
      <c r="C67" s="2"/>
      <c r="D67" s="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4"/>
      <c r="S67" s="4"/>
      <c r="T67" s="4"/>
      <c r="U67" s="5"/>
      <c r="V67" s="5"/>
      <c r="W67" s="5"/>
      <c r="X67" s="5"/>
      <c r="Y67" s="5"/>
      <c r="Z67" s="5"/>
      <c r="AA67" s="5"/>
      <c r="AB67" s="6"/>
      <c r="AC67" s="6"/>
      <c r="AD67" s="6"/>
      <c r="AE67" s="7"/>
    </row>
    <row r="68" spans="2:31">
      <c r="B68" s="2"/>
      <c r="C68" s="2"/>
      <c r="D68" s="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4"/>
      <c r="S68" s="4"/>
      <c r="T68" s="4"/>
      <c r="U68" s="5"/>
      <c r="V68" s="5"/>
      <c r="W68" s="5"/>
      <c r="X68" s="5"/>
      <c r="Y68" s="5"/>
      <c r="Z68" s="5"/>
      <c r="AA68" s="5"/>
      <c r="AB68" s="6"/>
      <c r="AC68" s="6"/>
      <c r="AD68" s="6"/>
      <c r="AE68" s="7"/>
    </row>
    <row r="69" spans="2:31">
      <c r="B69" s="2"/>
      <c r="C69" s="2"/>
      <c r="D69" s="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4"/>
      <c r="S69" s="4"/>
      <c r="T69" s="4"/>
      <c r="U69" s="5"/>
      <c r="V69" s="5"/>
      <c r="W69" s="5"/>
      <c r="X69" s="5"/>
      <c r="Y69" s="5"/>
      <c r="Z69" s="5"/>
      <c r="AA69" s="5"/>
      <c r="AB69" s="6"/>
      <c r="AC69" s="6"/>
      <c r="AD69" s="6"/>
      <c r="AE69" s="7"/>
    </row>
    <row r="70" spans="2:31">
      <c r="B70" s="2"/>
      <c r="C70" s="2"/>
      <c r="D70" s="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4"/>
      <c r="S70" s="4"/>
      <c r="T70" s="4"/>
      <c r="U70" s="5"/>
      <c r="V70" s="5"/>
      <c r="W70" s="5"/>
      <c r="X70" s="5"/>
      <c r="Y70" s="5"/>
      <c r="Z70" s="5"/>
      <c r="AA70" s="5"/>
      <c r="AB70" s="6"/>
      <c r="AC70" s="6"/>
      <c r="AD70" s="6"/>
      <c r="AE70" s="7"/>
    </row>
    <row r="71" spans="2:31">
      <c r="B71" s="2"/>
      <c r="C71" s="2"/>
      <c r="D71" s="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4"/>
      <c r="S71" s="4"/>
      <c r="T71" s="4"/>
      <c r="U71" s="5"/>
      <c r="V71" s="5"/>
      <c r="W71" s="5"/>
      <c r="X71" s="5"/>
      <c r="Y71" s="5"/>
      <c r="Z71" s="5"/>
      <c r="AA71" s="5"/>
      <c r="AB71" s="6"/>
      <c r="AC71" s="6"/>
      <c r="AD71" s="6"/>
      <c r="AE71" s="7"/>
    </row>
    <row r="72" spans="2:31">
      <c r="B72" s="2"/>
      <c r="C72" s="2"/>
      <c r="D72" s="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4"/>
      <c r="S72" s="4"/>
      <c r="T72" s="4"/>
      <c r="U72" s="5"/>
      <c r="V72" s="5"/>
      <c r="W72" s="5"/>
      <c r="X72" s="5"/>
      <c r="Y72" s="5"/>
      <c r="Z72" s="5"/>
      <c r="AA72" s="5"/>
      <c r="AB72" s="6"/>
      <c r="AC72" s="6"/>
      <c r="AD72" s="6"/>
      <c r="AE72" s="7"/>
    </row>
    <row r="73" spans="2:31">
      <c r="B73" s="2"/>
      <c r="C73" s="2"/>
      <c r="D73" s="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4"/>
      <c r="S73" s="4"/>
      <c r="T73" s="4"/>
      <c r="U73" s="5"/>
      <c r="V73" s="5"/>
      <c r="W73" s="5"/>
      <c r="X73" s="5"/>
      <c r="Y73" s="5"/>
      <c r="Z73" s="5"/>
      <c r="AA73" s="5"/>
      <c r="AB73" s="6"/>
      <c r="AC73" s="6"/>
      <c r="AD73" s="6"/>
      <c r="AE73" s="7"/>
    </row>
    <row r="74" spans="2:31">
      <c r="B74" s="2"/>
      <c r="C74" s="2"/>
      <c r="D74" s="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4"/>
      <c r="S74" s="4"/>
      <c r="T74" s="4"/>
      <c r="U74" s="5"/>
      <c r="V74" s="5"/>
      <c r="W74" s="5"/>
      <c r="X74" s="5"/>
      <c r="Y74" s="5"/>
      <c r="Z74" s="5"/>
      <c r="AA74" s="5"/>
      <c r="AB74" s="6"/>
      <c r="AC74" s="6"/>
      <c r="AD74" s="6"/>
      <c r="AE74" s="7"/>
    </row>
    <row r="75" spans="2:31">
      <c r="B75" s="2"/>
      <c r="C75" s="2"/>
      <c r="D75" s="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4"/>
      <c r="S75" s="4"/>
      <c r="T75" s="4"/>
      <c r="U75" s="5"/>
      <c r="V75" s="5"/>
      <c r="W75" s="5"/>
      <c r="X75" s="5"/>
      <c r="Y75" s="5"/>
      <c r="Z75" s="5"/>
      <c r="AA75" s="5"/>
      <c r="AB75" s="6"/>
      <c r="AC75" s="6"/>
      <c r="AD75" s="6"/>
      <c r="AE75" s="7"/>
    </row>
    <row r="76" spans="2:31">
      <c r="B76" s="2"/>
      <c r="C76" s="2"/>
      <c r="D76" s="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4"/>
      <c r="S76" s="4"/>
      <c r="T76" s="4"/>
      <c r="U76" s="5"/>
      <c r="V76" s="5"/>
      <c r="W76" s="5"/>
      <c r="X76" s="5"/>
      <c r="Y76" s="5"/>
      <c r="Z76" s="5"/>
      <c r="AA76" s="5"/>
      <c r="AB76" s="6"/>
      <c r="AC76" s="6"/>
      <c r="AD76" s="6"/>
      <c r="AE76" s="7"/>
    </row>
    <row r="77" spans="2:31">
      <c r="B77" s="2"/>
      <c r="C77" s="2"/>
      <c r="D77" s="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4"/>
      <c r="S77" s="4"/>
      <c r="T77" s="4"/>
      <c r="U77" s="5"/>
      <c r="V77" s="5"/>
      <c r="W77" s="5"/>
      <c r="X77" s="5"/>
      <c r="Y77" s="5"/>
      <c r="Z77" s="5"/>
      <c r="AA77" s="5"/>
      <c r="AB77" s="6"/>
      <c r="AC77" s="6"/>
      <c r="AD77" s="6"/>
      <c r="AE77" s="7"/>
    </row>
    <row r="78" spans="2:31">
      <c r="B78" s="2"/>
      <c r="C78" s="2"/>
      <c r="D78" s="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4"/>
      <c r="S78" s="4"/>
      <c r="T78" s="4"/>
      <c r="U78" s="5"/>
      <c r="V78" s="5"/>
      <c r="W78" s="5"/>
      <c r="X78" s="5"/>
      <c r="Y78" s="5"/>
      <c r="Z78" s="5"/>
      <c r="AA78" s="5"/>
      <c r="AB78" s="6"/>
      <c r="AC78" s="6"/>
      <c r="AD78" s="6"/>
      <c r="AE78" s="7"/>
    </row>
    <row r="79" spans="2:31">
      <c r="B79" s="2"/>
      <c r="C79" s="2"/>
      <c r="D79" s="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4"/>
      <c r="S79" s="4"/>
      <c r="T79" s="4"/>
      <c r="U79" s="5"/>
      <c r="V79" s="5"/>
      <c r="W79" s="5"/>
      <c r="X79" s="5"/>
      <c r="Y79" s="5"/>
      <c r="Z79" s="5"/>
      <c r="AA79" s="5"/>
      <c r="AB79" s="6"/>
      <c r="AC79" s="6"/>
      <c r="AD79" s="6"/>
      <c r="AE79" s="7"/>
    </row>
    <row r="80" spans="2:31">
      <c r="B80" s="2"/>
      <c r="C80" s="2"/>
      <c r="D80" s="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4"/>
      <c r="S80" s="4"/>
      <c r="T80" s="4"/>
      <c r="U80" s="5"/>
      <c r="V80" s="5"/>
      <c r="W80" s="5"/>
      <c r="X80" s="5"/>
      <c r="Y80" s="5"/>
      <c r="Z80" s="5"/>
      <c r="AA80" s="5"/>
      <c r="AB80" s="6"/>
      <c r="AC80" s="6"/>
      <c r="AD80" s="6"/>
      <c r="AE80" s="7"/>
    </row>
    <row r="81" spans="2:31">
      <c r="B81" s="2"/>
      <c r="C81" s="2"/>
      <c r="D81" s="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4"/>
      <c r="S81" s="4"/>
      <c r="T81" s="4"/>
      <c r="U81" s="5"/>
      <c r="V81" s="5"/>
      <c r="W81" s="5"/>
      <c r="X81" s="5"/>
      <c r="Y81" s="5"/>
      <c r="Z81" s="5"/>
      <c r="AA81" s="5"/>
      <c r="AB81" s="6"/>
      <c r="AC81" s="6"/>
      <c r="AD81" s="6"/>
      <c r="AE81" s="7"/>
    </row>
    <row r="82" spans="2:31">
      <c r="B82" s="2"/>
      <c r="C82" s="2"/>
      <c r="D82" s="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4"/>
      <c r="S82" s="4"/>
      <c r="T82" s="4"/>
      <c r="U82" s="5"/>
      <c r="V82" s="5"/>
      <c r="W82" s="5"/>
      <c r="X82" s="5"/>
      <c r="Y82" s="5"/>
      <c r="Z82" s="5"/>
      <c r="AA82" s="5"/>
      <c r="AB82" s="6"/>
      <c r="AC82" s="6"/>
      <c r="AD82" s="6"/>
      <c r="AE82" s="7"/>
    </row>
    <row r="83" spans="2:31">
      <c r="B83" s="2"/>
      <c r="C83" s="2"/>
      <c r="D83" s="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4"/>
      <c r="S83" s="4"/>
      <c r="T83" s="4"/>
      <c r="U83" s="5"/>
      <c r="V83" s="5"/>
      <c r="W83" s="5"/>
      <c r="X83" s="5"/>
      <c r="Y83" s="5"/>
      <c r="Z83" s="5"/>
      <c r="AA83" s="5"/>
      <c r="AB83" s="6"/>
      <c r="AC83" s="6"/>
      <c r="AD83" s="6"/>
      <c r="AE83" s="7"/>
    </row>
    <row r="84" spans="2:31">
      <c r="B84" s="2"/>
      <c r="C84" s="2"/>
      <c r="D84" s="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4"/>
      <c r="S84" s="4"/>
      <c r="T84" s="4"/>
      <c r="U84" s="5"/>
      <c r="V84" s="5"/>
      <c r="W84" s="5"/>
      <c r="X84" s="5"/>
      <c r="Y84" s="5"/>
      <c r="Z84" s="5"/>
      <c r="AA84" s="5"/>
      <c r="AB84" s="6"/>
      <c r="AC84" s="6"/>
      <c r="AD84" s="6"/>
      <c r="AE84" s="7"/>
    </row>
    <row r="85" spans="2:31">
      <c r="B85" s="2"/>
      <c r="C85" s="2"/>
      <c r="D85" s="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4"/>
      <c r="S85" s="4"/>
      <c r="T85" s="4"/>
      <c r="U85" s="5"/>
      <c r="V85" s="5"/>
      <c r="W85" s="5"/>
      <c r="X85" s="5"/>
      <c r="Y85" s="5"/>
      <c r="Z85" s="5"/>
      <c r="AA85" s="5"/>
      <c r="AB85" s="6"/>
      <c r="AC85" s="6"/>
      <c r="AD85" s="6"/>
      <c r="AE85" s="7"/>
    </row>
    <row r="86" spans="2:31">
      <c r="B86" s="2"/>
      <c r="C86" s="2"/>
      <c r="D86" s="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4"/>
      <c r="S86" s="4"/>
      <c r="T86" s="4"/>
      <c r="U86" s="5"/>
      <c r="V86" s="5"/>
      <c r="W86" s="5"/>
      <c r="X86" s="5"/>
      <c r="Y86" s="5"/>
      <c r="Z86" s="5"/>
      <c r="AA86" s="5"/>
      <c r="AB86" s="6"/>
      <c r="AC86" s="6"/>
      <c r="AD86" s="6"/>
      <c r="AE86" s="7"/>
    </row>
    <row r="87" spans="2:31">
      <c r="B87" s="2"/>
      <c r="C87" s="2"/>
      <c r="D87" s="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4"/>
      <c r="S87" s="4"/>
      <c r="T87" s="4"/>
      <c r="U87" s="5"/>
      <c r="V87" s="5"/>
      <c r="W87" s="5"/>
      <c r="X87" s="5"/>
      <c r="Y87" s="5"/>
      <c r="Z87" s="5"/>
      <c r="AA87" s="5"/>
      <c r="AB87" s="6"/>
      <c r="AC87" s="6"/>
      <c r="AD87" s="6"/>
      <c r="AE87" s="7"/>
    </row>
    <row r="88" spans="2:31">
      <c r="B88" s="2"/>
      <c r="C88" s="2"/>
      <c r="D88" s="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4"/>
      <c r="S88" s="4"/>
      <c r="T88" s="4"/>
      <c r="U88" s="5"/>
      <c r="V88" s="5"/>
      <c r="W88" s="5"/>
      <c r="X88" s="5"/>
      <c r="Y88" s="5"/>
      <c r="Z88" s="5"/>
      <c r="AA88" s="5"/>
      <c r="AB88" s="6"/>
      <c r="AC88" s="6"/>
      <c r="AD88" s="6"/>
      <c r="AE88" s="7"/>
    </row>
    <row r="89" spans="2:31">
      <c r="B89" s="2"/>
      <c r="C89" s="2"/>
      <c r="D89" s="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4"/>
      <c r="S89" s="4"/>
      <c r="T89" s="4"/>
      <c r="U89" s="5"/>
      <c r="V89" s="5"/>
      <c r="W89" s="5"/>
      <c r="X89" s="5"/>
      <c r="Y89" s="5"/>
      <c r="Z89" s="5"/>
      <c r="AA89" s="5"/>
      <c r="AB89" s="6"/>
      <c r="AC89" s="6"/>
      <c r="AD89" s="6"/>
      <c r="AE89" s="7"/>
    </row>
    <row r="90" spans="2:31">
      <c r="B90" s="2"/>
      <c r="C90" s="2"/>
      <c r="D90" s="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4"/>
      <c r="S90" s="4"/>
      <c r="T90" s="4"/>
      <c r="U90" s="5"/>
      <c r="V90" s="5"/>
      <c r="W90" s="5"/>
      <c r="X90" s="5"/>
      <c r="Y90" s="5"/>
      <c r="Z90" s="5"/>
      <c r="AA90" s="5"/>
      <c r="AB90" s="6"/>
      <c r="AC90" s="6"/>
      <c r="AD90" s="6"/>
      <c r="AE90" s="7"/>
    </row>
    <row r="91" spans="2:31">
      <c r="B91" s="2"/>
      <c r="C91" s="2"/>
      <c r="D91" s="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4"/>
      <c r="S91" s="4"/>
      <c r="T91" s="4"/>
      <c r="U91" s="5"/>
      <c r="V91" s="5"/>
      <c r="W91" s="5"/>
      <c r="X91" s="5"/>
      <c r="Y91" s="5"/>
      <c r="Z91" s="5"/>
      <c r="AA91" s="5"/>
      <c r="AB91" s="6"/>
      <c r="AC91" s="6"/>
      <c r="AD91" s="6"/>
      <c r="AE91" s="7"/>
    </row>
    <row r="92" spans="2:31">
      <c r="B92" s="2"/>
      <c r="C92" s="2"/>
      <c r="D92" s="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4"/>
      <c r="S92" s="4"/>
      <c r="T92" s="4"/>
      <c r="U92" s="5"/>
      <c r="V92" s="5"/>
      <c r="W92" s="5"/>
      <c r="X92" s="5"/>
      <c r="Y92" s="5"/>
      <c r="Z92" s="5"/>
      <c r="AA92" s="5"/>
      <c r="AB92" s="6"/>
      <c r="AC92" s="6"/>
      <c r="AD92" s="6"/>
      <c r="AE92" s="7"/>
    </row>
    <row r="93" spans="2:31">
      <c r="B93" s="2"/>
      <c r="C93" s="2"/>
      <c r="D93" s="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4"/>
      <c r="S93" s="4"/>
      <c r="T93" s="4"/>
      <c r="U93" s="5"/>
      <c r="V93" s="5"/>
      <c r="W93" s="5"/>
      <c r="X93" s="5"/>
      <c r="Y93" s="5"/>
      <c r="Z93" s="5"/>
      <c r="AA93" s="5"/>
      <c r="AB93" s="6"/>
      <c r="AC93" s="6"/>
      <c r="AD93" s="6"/>
      <c r="AE93" s="7"/>
    </row>
    <row r="94" spans="2:31">
      <c r="B94" s="2"/>
      <c r="C94" s="2"/>
      <c r="D94" s="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4"/>
      <c r="S94" s="4"/>
      <c r="T94" s="4"/>
      <c r="U94" s="5"/>
      <c r="V94" s="5"/>
      <c r="W94" s="5"/>
      <c r="X94" s="5"/>
      <c r="Y94" s="5"/>
      <c r="Z94" s="5"/>
      <c r="AA94" s="5"/>
      <c r="AB94" s="6"/>
      <c r="AC94" s="6"/>
      <c r="AD94" s="6"/>
      <c r="AE94" s="7"/>
    </row>
    <row r="95" spans="2:31">
      <c r="B95" s="2"/>
      <c r="C95" s="2"/>
      <c r="D95" s="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4"/>
      <c r="S95" s="4"/>
      <c r="T95" s="4"/>
      <c r="U95" s="5"/>
      <c r="V95" s="5"/>
      <c r="W95" s="5"/>
      <c r="X95" s="5"/>
      <c r="Y95" s="5"/>
      <c r="Z95" s="5"/>
      <c r="AA95" s="5"/>
      <c r="AB95" s="6"/>
      <c r="AC95" s="6"/>
      <c r="AD95" s="6"/>
      <c r="AE95" s="7"/>
    </row>
    <row r="96" spans="2:31">
      <c r="B96" s="2"/>
      <c r="C96" s="2"/>
      <c r="D96" s="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4"/>
      <c r="S96" s="4"/>
      <c r="T96" s="4"/>
      <c r="U96" s="5"/>
      <c r="V96" s="5"/>
      <c r="W96" s="5"/>
      <c r="X96" s="5"/>
      <c r="Y96" s="5"/>
      <c r="Z96" s="5"/>
      <c r="AA96" s="5"/>
      <c r="AB96" s="6"/>
      <c r="AC96" s="6"/>
      <c r="AD96" s="6"/>
      <c r="AE96" s="7"/>
    </row>
    <row r="97" spans="2:31">
      <c r="B97" s="2"/>
      <c r="C97" s="2"/>
      <c r="D97" s="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4"/>
      <c r="S97" s="4"/>
      <c r="T97" s="4"/>
      <c r="U97" s="5"/>
      <c r="V97" s="5"/>
      <c r="W97" s="5"/>
      <c r="X97" s="5"/>
      <c r="Y97" s="5"/>
      <c r="Z97" s="5"/>
      <c r="AA97" s="5"/>
      <c r="AB97" s="6"/>
      <c r="AC97" s="6"/>
      <c r="AD97" s="6"/>
      <c r="AE97" s="7"/>
    </row>
    <row r="98" spans="2:31">
      <c r="B98" s="2"/>
      <c r="C98" s="2"/>
      <c r="D98" s="2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4"/>
      <c r="S98" s="4"/>
      <c r="T98" s="4"/>
      <c r="U98" s="5"/>
      <c r="V98" s="5"/>
      <c r="W98" s="5"/>
      <c r="X98" s="5"/>
      <c r="Y98" s="5"/>
      <c r="Z98" s="5"/>
      <c r="AA98" s="5"/>
      <c r="AB98" s="6"/>
      <c r="AC98" s="6"/>
      <c r="AD98" s="6"/>
      <c r="AE98" s="7"/>
    </row>
    <row r="99" spans="2:31">
      <c r="B99" s="2"/>
      <c r="C99" s="2"/>
      <c r="D99" s="2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4"/>
      <c r="S99" s="4"/>
      <c r="T99" s="4"/>
      <c r="U99" s="5"/>
      <c r="V99" s="5"/>
      <c r="W99" s="5"/>
      <c r="X99" s="5"/>
      <c r="Y99" s="5"/>
      <c r="Z99" s="5"/>
      <c r="AA99" s="5"/>
      <c r="AB99" s="6"/>
      <c r="AC99" s="6"/>
      <c r="AD99" s="6"/>
      <c r="AE99" s="7"/>
    </row>
    <row r="100" spans="2:31">
      <c r="B100" s="2"/>
      <c r="C100" s="2"/>
      <c r="D100" s="2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4"/>
      <c r="S100" s="4"/>
      <c r="T100" s="4"/>
      <c r="U100" s="5"/>
      <c r="V100" s="5"/>
      <c r="W100" s="5"/>
      <c r="X100" s="5"/>
      <c r="Y100" s="5"/>
      <c r="Z100" s="5"/>
      <c r="AA100" s="5"/>
      <c r="AB100" s="6"/>
      <c r="AC100" s="6"/>
      <c r="AD100" s="6"/>
      <c r="AE100" s="7"/>
    </row>
    <row r="101" spans="2:31">
      <c r="B101" s="2"/>
      <c r="C101" s="2"/>
      <c r="D101" s="2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4"/>
      <c r="S101" s="4"/>
      <c r="T101" s="4"/>
      <c r="U101" s="5"/>
      <c r="V101" s="5"/>
      <c r="W101" s="5"/>
      <c r="X101" s="5"/>
      <c r="Y101" s="5"/>
      <c r="Z101" s="5"/>
      <c r="AA101" s="5"/>
      <c r="AB101" s="6"/>
      <c r="AC101" s="6"/>
      <c r="AD101" s="6"/>
      <c r="AE101" s="7"/>
    </row>
    <row r="102" spans="2:31">
      <c r="B102" s="2"/>
      <c r="C102" s="2"/>
      <c r="D102" s="2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4"/>
      <c r="S102" s="4"/>
      <c r="T102" s="4"/>
      <c r="U102" s="5"/>
      <c r="V102" s="5"/>
      <c r="W102" s="5"/>
      <c r="X102" s="5"/>
      <c r="Y102" s="5"/>
      <c r="Z102" s="5"/>
      <c r="AA102" s="5"/>
      <c r="AB102" s="6"/>
      <c r="AC102" s="6"/>
      <c r="AD102" s="6"/>
      <c r="AE102" s="7"/>
    </row>
    <row r="103" spans="2:31">
      <c r="B103" s="2"/>
      <c r="C103" s="2"/>
      <c r="D103" s="2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6"/>
      <c r="AC103" s="6"/>
      <c r="AD103" s="6"/>
      <c r="AE103" s="7"/>
    </row>
    <row r="104" spans="2:31">
      <c r="B104" s="2"/>
      <c r="C104" s="2"/>
      <c r="D104" s="2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6"/>
      <c r="AC104" s="6"/>
      <c r="AD104" s="6"/>
      <c r="AE104" s="7"/>
    </row>
    <row r="105" spans="2:31">
      <c r="B105" s="2"/>
      <c r="C105" s="2"/>
      <c r="D105" s="2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4"/>
      <c r="S105" s="4"/>
      <c r="T105" s="4"/>
      <c r="U105" s="5"/>
      <c r="V105" s="5"/>
      <c r="W105" s="5"/>
      <c r="X105" s="5"/>
      <c r="Y105" s="5"/>
      <c r="Z105" s="5"/>
      <c r="AA105" s="5"/>
      <c r="AB105" s="6"/>
      <c r="AC105" s="6"/>
      <c r="AD105" s="6"/>
      <c r="AE105" s="7"/>
    </row>
    <row r="106" spans="2:31">
      <c r="B106" s="2"/>
      <c r="C106" s="2"/>
      <c r="D106" s="2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4"/>
      <c r="S106" s="4"/>
      <c r="T106" s="4"/>
      <c r="U106" s="5"/>
      <c r="V106" s="5"/>
      <c r="W106" s="5"/>
      <c r="X106" s="5"/>
      <c r="Y106" s="5"/>
      <c r="Z106" s="5"/>
      <c r="AA106" s="5"/>
      <c r="AB106" s="6"/>
      <c r="AC106" s="6"/>
      <c r="AD106" s="6"/>
      <c r="AE106" s="7"/>
    </row>
    <row r="107" spans="2:31">
      <c r="B107" s="2"/>
      <c r="C107" s="2"/>
      <c r="D107" s="2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4"/>
      <c r="S107" s="4"/>
      <c r="T107" s="4"/>
      <c r="U107" s="5"/>
      <c r="V107" s="5"/>
      <c r="W107" s="5"/>
      <c r="X107" s="5"/>
      <c r="Y107" s="5"/>
      <c r="Z107" s="5"/>
      <c r="AA107" s="5"/>
      <c r="AB107" s="6"/>
      <c r="AC107" s="6"/>
      <c r="AD107" s="6"/>
      <c r="AE107" s="7"/>
    </row>
    <row r="108" spans="2:31">
      <c r="B108" s="2"/>
      <c r="C108" s="2"/>
      <c r="D108" s="2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4"/>
      <c r="S108" s="4"/>
      <c r="T108" s="4"/>
      <c r="U108" s="5"/>
      <c r="V108" s="5"/>
      <c r="W108" s="5"/>
      <c r="X108" s="5"/>
      <c r="Y108" s="5"/>
      <c r="Z108" s="5"/>
      <c r="AA108" s="5"/>
      <c r="AB108" s="6"/>
      <c r="AC108" s="6"/>
      <c r="AD108" s="6"/>
      <c r="AE108" s="7"/>
    </row>
    <row r="109" spans="2:31">
      <c r="B109" s="2"/>
      <c r="C109" s="2"/>
      <c r="D109" s="2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4"/>
      <c r="S109" s="4"/>
      <c r="T109" s="4"/>
      <c r="U109" s="5"/>
      <c r="V109" s="5"/>
      <c r="W109" s="5"/>
      <c r="X109" s="5"/>
      <c r="Y109" s="5"/>
      <c r="Z109" s="5"/>
      <c r="AA109" s="5"/>
      <c r="AB109" s="6"/>
      <c r="AC109" s="6"/>
      <c r="AD109" s="6"/>
      <c r="AE109" s="7"/>
    </row>
    <row r="110" spans="2:31">
      <c r="B110" s="2"/>
      <c r="C110" s="2"/>
      <c r="D110" s="2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4"/>
      <c r="S110" s="4"/>
      <c r="T110" s="4"/>
      <c r="U110" s="5"/>
      <c r="V110" s="5"/>
      <c r="W110" s="5"/>
      <c r="X110" s="5"/>
      <c r="Y110" s="5"/>
      <c r="Z110" s="5"/>
      <c r="AA110" s="5"/>
      <c r="AB110" s="6"/>
      <c r="AC110" s="6"/>
      <c r="AD110" s="6"/>
      <c r="AE110" s="7"/>
    </row>
    <row r="111" spans="2:31">
      <c r="B111" s="2"/>
      <c r="C111" s="2"/>
      <c r="D111" s="2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4"/>
      <c r="S111" s="4"/>
      <c r="T111" s="4"/>
      <c r="U111" s="5"/>
      <c r="V111" s="5"/>
      <c r="W111" s="5"/>
      <c r="X111" s="5"/>
      <c r="Y111" s="5"/>
      <c r="Z111" s="5"/>
      <c r="AA111" s="5"/>
      <c r="AB111" s="6"/>
      <c r="AC111" s="6"/>
      <c r="AD111" s="6"/>
      <c r="AE111" s="7"/>
    </row>
    <row r="112" spans="2:31">
      <c r="B112" s="2"/>
      <c r="C112" s="2"/>
      <c r="D112" s="2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6"/>
      <c r="AC112" s="6"/>
      <c r="AD112" s="6"/>
      <c r="AE112" s="7"/>
    </row>
    <row r="113" spans="2:31">
      <c r="B113" s="2"/>
      <c r="C113" s="2"/>
      <c r="D113" s="2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6"/>
      <c r="AC113" s="6"/>
      <c r="AD113" s="6"/>
      <c r="AE113" s="7"/>
    </row>
    <row r="114" spans="2:31">
      <c r="B114" s="2"/>
      <c r="C114" s="2"/>
      <c r="D114" s="2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4"/>
      <c r="S114" s="4"/>
      <c r="T114" s="4"/>
      <c r="U114" s="5"/>
      <c r="V114" s="5"/>
      <c r="W114" s="5"/>
      <c r="X114" s="5"/>
      <c r="Y114" s="5"/>
      <c r="Z114" s="5"/>
      <c r="AA114" s="5"/>
      <c r="AB114" s="6"/>
      <c r="AC114" s="6"/>
      <c r="AD114" s="6"/>
      <c r="AE114" s="7"/>
    </row>
    <row r="115" spans="2:31">
      <c r="B115" s="2"/>
      <c r="C115" s="2"/>
      <c r="D115" s="2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4"/>
      <c r="S115" s="4"/>
      <c r="T115" s="4"/>
      <c r="U115" s="5"/>
      <c r="V115" s="5"/>
      <c r="W115" s="5"/>
      <c r="X115" s="5"/>
      <c r="Y115" s="5"/>
      <c r="Z115" s="5"/>
      <c r="AA115" s="5"/>
      <c r="AB115" s="6"/>
      <c r="AC115" s="6"/>
      <c r="AD115" s="6"/>
      <c r="AE115" s="7"/>
    </row>
    <row r="116" spans="2:31">
      <c r="B116" s="2"/>
      <c r="C116" s="2"/>
      <c r="D116" s="2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6"/>
      <c r="AC116" s="6"/>
      <c r="AD116" s="6"/>
      <c r="AE116" s="7"/>
    </row>
    <row r="117" spans="2:31">
      <c r="B117" s="2"/>
      <c r="C117" s="2"/>
      <c r="D117" s="2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4"/>
      <c r="S117" s="4"/>
      <c r="T117" s="4"/>
      <c r="U117" s="5"/>
      <c r="V117" s="5"/>
      <c r="W117" s="5"/>
      <c r="X117" s="5"/>
      <c r="Y117" s="5"/>
      <c r="Z117" s="5"/>
      <c r="AA117" s="5"/>
      <c r="AB117" s="6"/>
      <c r="AC117" s="6"/>
      <c r="AD117" s="6"/>
      <c r="AE117" s="7"/>
    </row>
    <row r="118" spans="2:31">
      <c r="B118" s="2"/>
      <c r="C118" s="2"/>
      <c r="D118" s="2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4"/>
      <c r="S118" s="4"/>
      <c r="T118" s="4"/>
      <c r="U118" s="5"/>
      <c r="V118" s="5"/>
      <c r="W118" s="5"/>
      <c r="X118" s="5"/>
      <c r="Y118" s="5"/>
      <c r="Z118" s="5"/>
      <c r="AA118" s="5"/>
      <c r="AB118" s="6"/>
      <c r="AC118" s="6"/>
      <c r="AD118" s="6"/>
      <c r="AE118" s="7"/>
    </row>
    <row r="119" spans="2:31">
      <c r="B119" s="2"/>
      <c r="C119" s="2"/>
      <c r="D119" s="2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4"/>
      <c r="S119" s="4"/>
      <c r="T119" s="4"/>
      <c r="U119" s="5"/>
      <c r="V119" s="5"/>
      <c r="W119" s="5"/>
      <c r="X119" s="5"/>
      <c r="Y119" s="5"/>
      <c r="Z119" s="5"/>
      <c r="AA119" s="5"/>
      <c r="AB119" s="6"/>
      <c r="AC119" s="6"/>
      <c r="AD119" s="6"/>
      <c r="AE119" s="7"/>
    </row>
    <row r="120" spans="2:31">
      <c r="B120" s="2"/>
      <c r="C120" s="2"/>
      <c r="D120" s="2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4"/>
      <c r="S120" s="4"/>
      <c r="T120" s="4"/>
      <c r="U120" s="5"/>
      <c r="V120" s="5"/>
      <c r="W120" s="5"/>
      <c r="X120" s="5"/>
      <c r="Y120" s="5"/>
      <c r="Z120" s="5"/>
      <c r="AA120" s="5"/>
      <c r="AB120" s="6"/>
      <c r="AC120" s="6"/>
      <c r="AD120" s="6"/>
      <c r="AE120" s="7"/>
    </row>
    <row r="121" spans="2:31">
      <c r="B121" s="2"/>
      <c r="C121" s="2"/>
      <c r="D121" s="2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4"/>
      <c r="S121" s="4"/>
      <c r="T121" s="4"/>
      <c r="U121" s="5"/>
      <c r="V121" s="5"/>
      <c r="W121" s="5"/>
      <c r="X121" s="5"/>
      <c r="Y121" s="5"/>
      <c r="Z121" s="5"/>
      <c r="AA121" s="5"/>
      <c r="AB121" s="6"/>
      <c r="AC121" s="6"/>
      <c r="AD121" s="6"/>
      <c r="AE121" s="7"/>
    </row>
    <row r="122" spans="2:31">
      <c r="B122" s="2"/>
      <c r="C122" s="2"/>
      <c r="D122" s="2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4"/>
      <c r="S122" s="4"/>
      <c r="T122" s="4"/>
      <c r="U122" s="5"/>
      <c r="V122" s="5"/>
      <c r="W122" s="5"/>
      <c r="X122" s="5"/>
      <c r="Y122" s="5"/>
      <c r="Z122" s="5"/>
      <c r="AA122" s="5"/>
      <c r="AB122" s="6"/>
      <c r="AC122" s="6"/>
      <c r="AD122" s="6"/>
      <c r="AE122" s="7"/>
    </row>
    <row r="123" spans="2:31">
      <c r="B123" s="2"/>
      <c r="C123" s="2"/>
      <c r="D123" s="2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4"/>
      <c r="S123" s="4"/>
      <c r="T123" s="4"/>
      <c r="U123" s="5"/>
      <c r="V123" s="5"/>
      <c r="W123" s="5"/>
      <c r="X123" s="5"/>
      <c r="Y123" s="5"/>
      <c r="Z123" s="5"/>
      <c r="AA123" s="5"/>
      <c r="AB123" s="6"/>
      <c r="AC123" s="6"/>
      <c r="AD123" s="6"/>
      <c r="AE123" s="7"/>
    </row>
    <row r="124" spans="2:31">
      <c r="B124" s="2"/>
      <c r="C124" s="2"/>
      <c r="D124" s="2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4"/>
      <c r="S124" s="4"/>
      <c r="T124" s="4"/>
      <c r="U124" s="5"/>
      <c r="V124" s="5"/>
      <c r="W124" s="5"/>
      <c r="X124" s="5"/>
      <c r="Y124" s="5"/>
      <c r="Z124" s="5"/>
      <c r="AA124" s="5"/>
      <c r="AB124" s="6"/>
      <c r="AC124" s="6"/>
      <c r="AD124" s="6"/>
      <c r="AE124" s="7"/>
    </row>
    <row r="125" spans="2:31">
      <c r="B125" s="2"/>
      <c r="C125" s="2"/>
      <c r="D125" s="2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6"/>
      <c r="AC125" s="6"/>
      <c r="AD125" s="6"/>
      <c r="AE125" s="7"/>
    </row>
    <row r="126" spans="2:31">
      <c r="B126" s="2"/>
      <c r="C126" s="2"/>
      <c r="D126" s="2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4"/>
      <c r="S126" s="4"/>
      <c r="T126" s="4"/>
      <c r="U126" s="5"/>
      <c r="V126" s="5"/>
      <c r="W126" s="5"/>
      <c r="X126" s="5"/>
      <c r="Y126" s="5"/>
      <c r="Z126" s="5"/>
      <c r="AA126" s="5"/>
      <c r="AB126" s="6"/>
      <c r="AC126" s="6"/>
      <c r="AD126" s="6"/>
      <c r="AE126" s="7"/>
    </row>
    <row r="127" spans="2:31">
      <c r="B127" s="2"/>
      <c r="C127" s="2"/>
      <c r="D127" s="2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6"/>
      <c r="AC127" s="6"/>
      <c r="AD127" s="6"/>
      <c r="AE127" s="7"/>
    </row>
    <row r="128" spans="2:31">
      <c r="B128" s="2"/>
      <c r="C128" s="2"/>
      <c r="D128" s="2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4"/>
      <c r="S128" s="4"/>
      <c r="T128" s="4"/>
      <c r="U128" s="5"/>
      <c r="V128" s="5"/>
      <c r="W128" s="5"/>
      <c r="X128" s="5"/>
      <c r="Y128" s="5"/>
      <c r="Z128" s="5"/>
      <c r="AA128" s="5"/>
      <c r="AB128" s="6"/>
      <c r="AC128" s="6"/>
      <c r="AD128" s="6"/>
      <c r="AE128" s="7"/>
    </row>
    <row r="129" spans="2:31">
      <c r="B129" s="2"/>
      <c r="C129" s="2"/>
      <c r="D129" s="2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4"/>
      <c r="S129" s="4"/>
      <c r="T129" s="4"/>
      <c r="U129" s="5"/>
      <c r="V129" s="5"/>
      <c r="W129" s="5"/>
      <c r="X129" s="5"/>
      <c r="Y129" s="5"/>
      <c r="Z129" s="5"/>
      <c r="AA129" s="5"/>
      <c r="AB129" s="6"/>
      <c r="AC129" s="6"/>
      <c r="AD129" s="6"/>
      <c r="AE129" s="7"/>
    </row>
    <row r="130" spans="2:31">
      <c r="B130" s="2"/>
      <c r="C130" s="2"/>
      <c r="D130" s="2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4"/>
      <c r="S130" s="4"/>
      <c r="T130" s="4"/>
      <c r="U130" s="5"/>
      <c r="V130" s="5"/>
      <c r="W130" s="5"/>
      <c r="X130" s="5"/>
      <c r="Y130" s="5"/>
      <c r="Z130" s="5"/>
      <c r="AA130" s="5"/>
      <c r="AB130" s="6"/>
      <c r="AC130" s="6"/>
      <c r="AD130" s="6"/>
      <c r="AE130" s="7"/>
    </row>
    <row r="131" spans="2:31">
      <c r="B131" s="2"/>
      <c r="C131" s="2"/>
      <c r="D131" s="2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4"/>
      <c r="S131" s="4"/>
      <c r="T131" s="4"/>
      <c r="U131" s="5"/>
      <c r="V131" s="5"/>
      <c r="W131" s="5"/>
      <c r="X131" s="5"/>
      <c r="Y131" s="5"/>
      <c r="Z131" s="5"/>
      <c r="AA131" s="5"/>
      <c r="AB131" s="6"/>
      <c r="AC131" s="6"/>
      <c r="AD131" s="6"/>
      <c r="AE131" s="7"/>
    </row>
    <row r="132" spans="2:31">
      <c r="B132" s="2"/>
      <c r="C132" s="2"/>
      <c r="D132" s="2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4"/>
      <c r="S132" s="4"/>
      <c r="T132" s="4"/>
      <c r="U132" s="5"/>
      <c r="V132" s="5"/>
      <c r="W132" s="5"/>
      <c r="X132" s="5"/>
      <c r="Y132" s="5"/>
      <c r="Z132" s="5"/>
      <c r="AA132" s="5"/>
      <c r="AB132" s="6"/>
      <c r="AC132" s="6"/>
      <c r="AD132" s="6"/>
      <c r="AE132" s="7"/>
    </row>
    <row r="133" spans="2:31">
      <c r="B133" s="2"/>
      <c r="C133" s="2"/>
      <c r="D133" s="2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4"/>
      <c r="S133" s="4"/>
      <c r="T133" s="4"/>
      <c r="U133" s="5"/>
      <c r="V133" s="5"/>
      <c r="W133" s="5"/>
      <c r="X133" s="5"/>
      <c r="Y133" s="5"/>
      <c r="Z133" s="5"/>
      <c r="AA133" s="5"/>
      <c r="AB133" s="6"/>
      <c r="AC133" s="6"/>
      <c r="AD133" s="6"/>
      <c r="AE133" s="7"/>
    </row>
    <row r="134" spans="2:31">
      <c r="B134" s="2"/>
      <c r="C134" s="2"/>
      <c r="D134" s="2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4"/>
      <c r="S134" s="4"/>
      <c r="T134" s="4"/>
      <c r="U134" s="5"/>
      <c r="V134" s="5"/>
      <c r="W134" s="5"/>
      <c r="X134" s="5"/>
      <c r="Y134" s="5"/>
      <c r="Z134" s="5"/>
      <c r="AA134" s="5"/>
      <c r="AB134" s="6"/>
      <c r="AC134" s="6"/>
      <c r="AD134" s="6"/>
      <c r="AE134" s="7"/>
    </row>
    <row r="135" spans="2:31">
      <c r="B135" s="2"/>
      <c r="C135" s="2"/>
      <c r="D135" s="2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4"/>
      <c r="S135" s="4"/>
      <c r="T135" s="4"/>
      <c r="U135" s="5"/>
      <c r="V135" s="5"/>
      <c r="W135" s="5"/>
      <c r="X135" s="5"/>
      <c r="Y135" s="5"/>
      <c r="Z135" s="5"/>
      <c r="AA135" s="5"/>
      <c r="AB135" s="6"/>
      <c r="AC135" s="6"/>
      <c r="AD135" s="6"/>
      <c r="AE135" s="7"/>
    </row>
    <row r="136" spans="2:31">
      <c r="B136" s="2"/>
      <c r="C136" s="2"/>
      <c r="D136" s="2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4"/>
      <c r="S136" s="4"/>
      <c r="T136" s="4"/>
      <c r="U136" s="5"/>
      <c r="V136" s="5"/>
      <c r="W136" s="5"/>
      <c r="X136" s="5"/>
      <c r="Y136" s="5"/>
      <c r="Z136" s="5"/>
      <c r="AA136" s="5"/>
      <c r="AB136" s="6"/>
      <c r="AC136" s="6"/>
      <c r="AD136" s="6"/>
      <c r="AE136" s="7"/>
    </row>
    <row r="137" spans="2:31">
      <c r="B137" s="2"/>
      <c r="C137" s="2"/>
      <c r="D137" s="2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4"/>
      <c r="S137" s="4"/>
      <c r="T137" s="4"/>
      <c r="U137" s="5"/>
      <c r="V137" s="5"/>
      <c r="W137" s="5"/>
      <c r="X137" s="5"/>
      <c r="Y137" s="5"/>
      <c r="Z137" s="5"/>
      <c r="AA137" s="5"/>
      <c r="AB137" s="6"/>
      <c r="AC137" s="6"/>
      <c r="AD137" s="6"/>
      <c r="AE137" s="7"/>
    </row>
    <row r="138" spans="2:31">
      <c r="B138" s="2"/>
      <c r="C138" s="2"/>
      <c r="D138" s="2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4"/>
      <c r="S138" s="4"/>
      <c r="T138" s="4"/>
      <c r="U138" s="5"/>
      <c r="V138" s="5"/>
      <c r="W138" s="5"/>
      <c r="X138" s="5"/>
      <c r="Y138" s="5"/>
      <c r="Z138" s="5"/>
      <c r="AA138" s="5"/>
      <c r="AB138" s="6"/>
      <c r="AC138" s="6"/>
      <c r="AD138" s="6"/>
      <c r="AE138" s="7"/>
    </row>
    <row r="139" spans="2:31">
      <c r="B139" s="2"/>
      <c r="C139" s="2"/>
      <c r="D139" s="2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4"/>
      <c r="S139" s="4"/>
      <c r="T139" s="4"/>
      <c r="U139" s="5"/>
      <c r="V139" s="5"/>
      <c r="W139" s="5"/>
      <c r="X139" s="5"/>
      <c r="Y139" s="5"/>
      <c r="Z139" s="5"/>
      <c r="AA139" s="5"/>
      <c r="AB139" s="6"/>
      <c r="AC139" s="6"/>
      <c r="AD139" s="6"/>
      <c r="AE139" s="7"/>
    </row>
    <row r="140" spans="2:31">
      <c r="B140" s="2"/>
      <c r="C140" s="2"/>
      <c r="D140" s="2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4"/>
      <c r="S140" s="4"/>
      <c r="T140" s="4"/>
      <c r="U140" s="5"/>
      <c r="V140" s="5"/>
      <c r="W140" s="5"/>
      <c r="X140" s="5"/>
      <c r="Y140" s="5"/>
      <c r="Z140" s="5"/>
      <c r="AA140" s="5"/>
      <c r="AB140" s="6"/>
      <c r="AC140" s="6"/>
      <c r="AD140" s="6"/>
      <c r="AE140" s="7"/>
    </row>
    <row r="141" spans="2:31">
      <c r="B141" s="2"/>
      <c r="C141" s="2"/>
      <c r="D141" s="2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4"/>
      <c r="S141" s="4"/>
      <c r="T141" s="4"/>
      <c r="U141" s="5"/>
      <c r="V141" s="5"/>
      <c r="W141" s="5"/>
      <c r="X141" s="5"/>
      <c r="Y141" s="5"/>
      <c r="Z141" s="5"/>
      <c r="AA141" s="5"/>
      <c r="AB141" s="6"/>
      <c r="AC141" s="6"/>
      <c r="AD141" s="6"/>
      <c r="AE141" s="7"/>
    </row>
    <row r="142" spans="2:31">
      <c r="B142" s="2"/>
      <c r="C142" s="2"/>
      <c r="D142" s="2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4"/>
      <c r="S142" s="4"/>
      <c r="T142" s="4"/>
      <c r="U142" s="5"/>
      <c r="V142" s="5"/>
      <c r="W142" s="5"/>
      <c r="X142" s="5"/>
      <c r="Y142" s="5"/>
      <c r="Z142" s="5"/>
      <c r="AA142" s="5"/>
      <c r="AB142" s="6"/>
      <c r="AC142" s="6"/>
      <c r="AD142" s="6"/>
      <c r="AE142" s="7"/>
    </row>
    <row r="143" spans="2:31">
      <c r="B143" s="2"/>
      <c r="C143" s="2"/>
      <c r="D143" s="2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4"/>
      <c r="S143" s="4"/>
      <c r="T143" s="4"/>
      <c r="U143" s="5"/>
      <c r="V143" s="5"/>
      <c r="W143" s="5"/>
      <c r="X143" s="5"/>
      <c r="Y143" s="5"/>
      <c r="Z143" s="5"/>
      <c r="AA143" s="5"/>
      <c r="AB143" s="6"/>
      <c r="AC143" s="6"/>
      <c r="AD143" s="6"/>
      <c r="AE143" s="7"/>
    </row>
    <row r="144" spans="2:31">
      <c r="B144" s="2"/>
      <c r="C144" s="2"/>
      <c r="D144" s="2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4"/>
      <c r="S144" s="4"/>
      <c r="T144" s="4"/>
      <c r="U144" s="5"/>
      <c r="V144" s="5"/>
      <c r="W144" s="5"/>
      <c r="X144" s="5"/>
      <c r="Y144" s="5"/>
      <c r="Z144" s="5"/>
      <c r="AA144" s="5"/>
      <c r="AB144" s="6"/>
      <c r="AC144" s="6"/>
      <c r="AD144" s="6"/>
      <c r="AE144" s="7"/>
    </row>
    <row r="145" spans="2:31">
      <c r="B145" s="2"/>
      <c r="C145" s="2"/>
      <c r="D145" s="2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4"/>
      <c r="S145" s="4"/>
      <c r="T145" s="4"/>
      <c r="U145" s="5"/>
      <c r="V145" s="5"/>
      <c r="W145" s="5"/>
      <c r="X145" s="5"/>
      <c r="Y145" s="5"/>
      <c r="Z145" s="5"/>
      <c r="AA145" s="5"/>
      <c r="AB145" s="6"/>
      <c r="AC145" s="6"/>
      <c r="AD145" s="6"/>
      <c r="AE145" s="7"/>
    </row>
    <row r="146" spans="2:31">
      <c r="B146" s="2"/>
      <c r="C146" s="2"/>
      <c r="D146" s="2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4"/>
      <c r="S146" s="4"/>
      <c r="T146" s="4"/>
      <c r="U146" s="5"/>
      <c r="V146" s="5"/>
      <c r="W146" s="5"/>
      <c r="X146" s="5"/>
      <c r="Y146" s="5"/>
      <c r="Z146" s="5"/>
      <c r="AA146" s="5"/>
      <c r="AB146" s="6"/>
      <c r="AC146" s="6"/>
      <c r="AD146" s="6"/>
      <c r="AE146" s="7"/>
    </row>
    <row r="147" spans="2:31">
      <c r="B147" s="2"/>
      <c r="C147" s="2"/>
      <c r="D147" s="2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4"/>
      <c r="S147" s="4"/>
      <c r="T147" s="4"/>
      <c r="U147" s="5"/>
      <c r="V147" s="5"/>
      <c r="W147" s="5"/>
      <c r="X147" s="5"/>
      <c r="Y147" s="5"/>
      <c r="Z147" s="5"/>
      <c r="AA147" s="5"/>
      <c r="AB147" s="6"/>
      <c r="AC147" s="6"/>
      <c r="AD147" s="6"/>
      <c r="AE147" s="7"/>
    </row>
    <row r="148" spans="2:31">
      <c r="B148" s="2"/>
      <c r="C148" s="2"/>
      <c r="D148" s="2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4"/>
      <c r="S148" s="4"/>
      <c r="T148" s="4"/>
      <c r="U148" s="5"/>
      <c r="V148" s="5"/>
      <c r="W148" s="5"/>
      <c r="X148" s="5"/>
      <c r="Y148" s="5"/>
      <c r="Z148" s="5"/>
      <c r="AA148" s="5"/>
      <c r="AB148" s="6"/>
      <c r="AC148" s="6"/>
      <c r="AD148" s="6"/>
      <c r="AE148" s="7"/>
    </row>
    <row r="149" spans="2:31">
      <c r="B149" s="2"/>
      <c r="C149" s="2"/>
      <c r="D149" s="2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4"/>
      <c r="S149" s="4"/>
      <c r="T149" s="4"/>
      <c r="U149" s="5"/>
      <c r="V149" s="5"/>
      <c r="W149" s="5"/>
      <c r="X149" s="5"/>
      <c r="Y149" s="5"/>
      <c r="Z149" s="5"/>
      <c r="AA149" s="5"/>
      <c r="AB149" s="6"/>
      <c r="AC149" s="6"/>
      <c r="AD149" s="6"/>
      <c r="AE149" s="7"/>
    </row>
    <row r="150" spans="2:31">
      <c r="B150" s="2"/>
      <c r="C150" s="2"/>
      <c r="D150" s="2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4"/>
      <c r="S150" s="4"/>
      <c r="T150" s="4"/>
      <c r="U150" s="5"/>
      <c r="V150" s="5"/>
      <c r="W150" s="5"/>
      <c r="X150" s="5"/>
      <c r="Y150" s="5"/>
      <c r="Z150" s="5"/>
      <c r="AA150" s="5"/>
      <c r="AB150" s="6"/>
      <c r="AC150" s="6"/>
      <c r="AD150" s="6"/>
      <c r="AE150" s="7"/>
    </row>
    <row r="151" spans="2:31">
      <c r="B151" s="2"/>
      <c r="C151" s="2"/>
      <c r="D151" s="2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4"/>
      <c r="S151" s="4"/>
      <c r="T151" s="4"/>
      <c r="U151" s="5"/>
      <c r="V151" s="5"/>
      <c r="W151" s="5"/>
      <c r="X151" s="5"/>
      <c r="Y151" s="5"/>
      <c r="Z151" s="5"/>
      <c r="AA151" s="5"/>
      <c r="AB151" s="6"/>
      <c r="AC151" s="6"/>
      <c r="AD151" s="6"/>
      <c r="AE151" s="7"/>
    </row>
    <row r="152" spans="2:31">
      <c r="B152" s="2"/>
      <c r="C152" s="2"/>
      <c r="D152" s="2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4"/>
      <c r="S152" s="4"/>
      <c r="T152" s="4"/>
      <c r="U152" s="5"/>
      <c r="V152" s="5"/>
      <c r="W152" s="5"/>
      <c r="X152" s="5"/>
      <c r="Y152" s="5"/>
      <c r="Z152" s="5"/>
      <c r="AA152" s="5"/>
      <c r="AB152" s="6"/>
      <c r="AC152" s="6"/>
      <c r="AD152" s="6"/>
      <c r="AE152" s="7"/>
    </row>
    <row r="153" spans="2:31">
      <c r="B153" s="2"/>
      <c r="C153" s="2"/>
      <c r="D153" s="2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4"/>
      <c r="S153" s="4"/>
      <c r="T153" s="4"/>
      <c r="U153" s="5"/>
      <c r="V153" s="5"/>
      <c r="W153" s="5"/>
      <c r="X153" s="5"/>
      <c r="Y153" s="5"/>
      <c r="Z153" s="5"/>
      <c r="AA153" s="5"/>
      <c r="AB153" s="6"/>
      <c r="AC153" s="6"/>
      <c r="AD153" s="6"/>
      <c r="AE153" s="7"/>
    </row>
    <row r="154" spans="2:31">
      <c r="B154" s="2"/>
      <c r="C154" s="2"/>
      <c r="D154" s="2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4"/>
      <c r="S154" s="4"/>
      <c r="T154" s="4"/>
      <c r="U154" s="5"/>
      <c r="V154" s="5"/>
      <c r="W154" s="5"/>
      <c r="X154" s="5"/>
      <c r="Y154" s="5"/>
      <c r="Z154" s="5"/>
      <c r="AA154" s="5"/>
      <c r="AB154" s="6"/>
      <c r="AC154" s="6"/>
      <c r="AD154" s="6"/>
      <c r="AE154" s="7"/>
    </row>
    <row r="155" spans="2:31">
      <c r="B155" s="2"/>
      <c r="C155" s="2"/>
      <c r="D155" s="2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4"/>
      <c r="S155" s="4"/>
      <c r="T155" s="4"/>
      <c r="U155" s="5"/>
      <c r="V155" s="5"/>
      <c r="W155" s="5"/>
      <c r="X155" s="5"/>
      <c r="Y155" s="5"/>
      <c r="Z155" s="5"/>
      <c r="AA155" s="5"/>
      <c r="AB155" s="6"/>
      <c r="AC155" s="6"/>
      <c r="AD155" s="6"/>
      <c r="AE155" s="7"/>
    </row>
    <row r="156" spans="2:31">
      <c r="B156" s="2"/>
      <c r="C156" s="2"/>
      <c r="D156" s="2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4"/>
      <c r="S156" s="4"/>
      <c r="T156" s="4"/>
      <c r="U156" s="5"/>
      <c r="V156" s="5"/>
      <c r="W156" s="5"/>
      <c r="X156" s="5"/>
      <c r="Y156" s="5"/>
      <c r="Z156" s="5"/>
      <c r="AA156" s="5"/>
      <c r="AB156" s="6"/>
      <c r="AC156" s="6"/>
      <c r="AD156" s="6"/>
      <c r="AE156" s="7"/>
    </row>
    <row r="157" spans="2:31">
      <c r="B157" s="2"/>
      <c r="C157" s="2"/>
      <c r="D157" s="2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4"/>
      <c r="S157" s="4"/>
      <c r="T157" s="4"/>
      <c r="U157" s="5"/>
      <c r="V157" s="5"/>
      <c r="W157" s="5"/>
      <c r="X157" s="5"/>
      <c r="Y157" s="5"/>
      <c r="Z157" s="5"/>
      <c r="AA157" s="5"/>
      <c r="AB157" s="6"/>
      <c r="AC157" s="6"/>
      <c r="AD157" s="6"/>
      <c r="AE157" s="7"/>
    </row>
    <row r="158" spans="2:31">
      <c r="B158" s="2"/>
      <c r="C158" s="2"/>
      <c r="D158" s="2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4"/>
      <c r="S158" s="4"/>
      <c r="T158" s="4"/>
      <c r="U158" s="5"/>
      <c r="V158" s="5"/>
      <c r="W158" s="5"/>
      <c r="X158" s="5"/>
      <c r="Y158" s="5"/>
      <c r="Z158" s="5"/>
      <c r="AA158" s="5"/>
      <c r="AB158" s="6"/>
      <c r="AC158" s="6"/>
      <c r="AD158" s="6"/>
      <c r="AE158" s="7"/>
    </row>
    <row r="159" spans="2:31">
      <c r="B159" s="2"/>
      <c r="C159" s="2"/>
      <c r="D159" s="2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4"/>
      <c r="S159" s="4"/>
      <c r="T159" s="4"/>
      <c r="U159" s="5"/>
      <c r="V159" s="5"/>
      <c r="W159" s="5"/>
      <c r="X159" s="5"/>
      <c r="Y159" s="5"/>
      <c r="Z159" s="5"/>
      <c r="AA159" s="5"/>
      <c r="AB159" s="6"/>
      <c r="AC159" s="6"/>
      <c r="AD159" s="6"/>
      <c r="AE159" s="7"/>
    </row>
    <row r="160" spans="2:31">
      <c r="B160" s="2"/>
      <c r="C160" s="2"/>
      <c r="D160" s="2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4"/>
      <c r="S160" s="4"/>
      <c r="T160" s="4"/>
      <c r="U160" s="5"/>
      <c r="V160" s="5"/>
      <c r="W160" s="5"/>
      <c r="X160" s="5"/>
      <c r="Y160" s="5"/>
      <c r="Z160" s="5"/>
      <c r="AA160" s="5"/>
      <c r="AB160" s="6"/>
      <c r="AC160" s="6"/>
      <c r="AD160" s="6"/>
      <c r="AE160" s="7"/>
    </row>
    <row r="161" spans="2:31">
      <c r="B161" s="2"/>
      <c r="C161" s="2"/>
      <c r="D161" s="2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4"/>
      <c r="S161" s="4"/>
      <c r="T161" s="4"/>
      <c r="U161" s="5"/>
      <c r="V161" s="5"/>
      <c r="W161" s="5"/>
      <c r="X161" s="5"/>
      <c r="Y161" s="5"/>
      <c r="Z161" s="5"/>
      <c r="AA161" s="5"/>
      <c r="AB161" s="6"/>
      <c r="AC161" s="6"/>
      <c r="AD161" s="6"/>
      <c r="AE161" s="7"/>
    </row>
    <row r="162" spans="2:31">
      <c r="B162" s="2"/>
      <c r="C162" s="2"/>
      <c r="D162" s="2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4"/>
      <c r="S162" s="4"/>
      <c r="T162" s="4"/>
      <c r="U162" s="5"/>
      <c r="V162" s="5"/>
      <c r="W162" s="5"/>
      <c r="X162" s="5"/>
      <c r="Y162" s="5"/>
      <c r="Z162" s="5"/>
      <c r="AA162" s="5"/>
      <c r="AB162" s="6"/>
      <c r="AC162" s="6"/>
      <c r="AD162" s="6"/>
      <c r="AE162" s="7"/>
    </row>
    <row r="163" spans="2:31">
      <c r="B163" s="2"/>
      <c r="C163" s="2"/>
      <c r="D163" s="2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4"/>
      <c r="S163" s="4"/>
      <c r="T163" s="4"/>
      <c r="U163" s="5"/>
      <c r="V163" s="5"/>
      <c r="W163" s="5"/>
      <c r="X163" s="5"/>
      <c r="Y163" s="5"/>
      <c r="Z163" s="5"/>
      <c r="AA163" s="5"/>
      <c r="AB163" s="6"/>
      <c r="AC163" s="6"/>
      <c r="AD163" s="6"/>
      <c r="AE163" s="7"/>
    </row>
    <row r="164" spans="2:31">
      <c r="B164" s="2"/>
      <c r="C164" s="2"/>
      <c r="D164" s="2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4"/>
      <c r="S164" s="4"/>
      <c r="T164" s="4"/>
      <c r="U164" s="5"/>
      <c r="V164" s="5"/>
      <c r="W164" s="5"/>
      <c r="X164" s="5"/>
      <c r="Y164" s="5"/>
      <c r="Z164" s="5"/>
      <c r="AA164" s="5"/>
      <c r="AB164" s="6"/>
      <c r="AC164" s="6"/>
      <c r="AD164" s="6"/>
      <c r="AE164" s="7"/>
    </row>
    <row r="165" spans="2:31">
      <c r="B165" s="2"/>
      <c r="C165" s="2"/>
      <c r="D165" s="2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4"/>
      <c r="S165" s="4"/>
      <c r="T165" s="4"/>
      <c r="U165" s="5"/>
      <c r="V165" s="5"/>
      <c r="W165" s="5"/>
      <c r="X165" s="5"/>
      <c r="Y165" s="5"/>
      <c r="Z165" s="5"/>
      <c r="AA165" s="5"/>
      <c r="AB165" s="6"/>
      <c r="AC165" s="6"/>
      <c r="AD165" s="6"/>
      <c r="AE165" s="7"/>
    </row>
    <row r="166" spans="2:31">
      <c r="B166" s="2"/>
      <c r="C166" s="2"/>
      <c r="D166" s="2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4"/>
      <c r="S166" s="4"/>
      <c r="T166" s="4"/>
      <c r="U166" s="5"/>
      <c r="V166" s="5"/>
      <c r="W166" s="5"/>
      <c r="X166" s="5"/>
      <c r="Y166" s="5"/>
      <c r="Z166" s="5"/>
      <c r="AA166" s="5"/>
      <c r="AB166" s="6"/>
      <c r="AC166" s="6"/>
      <c r="AD166" s="6"/>
      <c r="AE166" s="7"/>
    </row>
    <row r="167" spans="2:31">
      <c r="B167" s="2"/>
      <c r="C167" s="2"/>
      <c r="D167" s="2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4"/>
      <c r="S167" s="4"/>
      <c r="T167" s="4"/>
      <c r="U167" s="5"/>
      <c r="V167" s="5"/>
      <c r="W167" s="5"/>
      <c r="X167" s="5"/>
      <c r="Y167" s="5"/>
      <c r="Z167" s="5"/>
      <c r="AA167" s="5"/>
      <c r="AB167" s="6"/>
      <c r="AC167" s="6"/>
      <c r="AD167" s="6"/>
      <c r="AE167" s="7"/>
    </row>
    <row r="168" spans="2:31">
      <c r="B168" s="2"/>
      <c r="C168" s="2"/>
      <c r="D168" s="2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4"/>
      <c r="S168" s="4"/>
      <c r="T168" s="4"/>
      <c r="U168" s="5"/>
      <c r="V168" s="5"/>
      <c r="W168" s="5"/>
      <c r="X168" s="5"/>
      <c r="Y168" s="5"/>
      <c r="Z168" s="5"/>
      <c r="AA168" s="5"/>
      <c r="AB168" s="6"/>
      <c r="AC168" s="6"/>
      <c r="AD168" s="6"/>
      <c r="AE168" s="7"/>
    </row>
    <row r="169" spans="2:31">
      <c r="B169" s="2"/>
      <c r="C169" s="2"/>
      <c r="D169" s="2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4"/>
      <c r="S169" s="4"/>
      <c r="T169" s="4"/>
      <c r="U169" s="5"/>
      <c r="V169" s="5"/>
      <c r="W169" s="5"/>
      <c r="X169" s="5"/>
      <c r="Y169" s="5"/>
      <c r="Z169" s="5"/>
      <c r="AA169" s="5"/>
      <c r="AB169" s="6"/>
      <c r="AC169" s="6"/>
      <c r="AD169" s="6"/>
      <c r="AE169" s="7"/>
    </row>
    <row r="170" spans="2:31">
      <c r="B170" s="2"/>
      <c r="C170" s="2"/>
      <c r="D170" s="2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4"/>
      <c r="S170" s="4"/>
      <c r="T170" s="4"/>
      <c r="U170" s="5"/>
      <c r="V170" s="5"/>
      <c r="W170" s="5"/>
      <c r="X170" s="5"/>
      <c r="Y170" s="5"/>
      <c r="Z170" s="5"/>
      <c r="AA170" s="5"/>
      <c r="AB170" s="6"/>
      <c r="AC170" s="6"/>
      <c r="AD170" s="6"/>
      <c r="AE170" s="7"/>
    </row>
    <row r="171" spans="2:31">
      <c r="B171" s="2"/>
      <c r="C171" s="2"/>
      <c r="D171" s="2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4"/>
      <c r="S171" s="4"/>
      <c r="T171" s="4"/>
      <c r="U171" s="5"/>
      <c r="V171" s="5"/>
      <c r="W171" s="5"/>
      <c r="X171" s="5"/>
      <c r="Y171" s="5"/>
      <c r="Z171" s="5"/>
      <c r="AA171" s="5"/>
      <c r="AB171" s="6"/>
      <c r="AC171" s="6"/>
      <c r="AD171" s="6"/>
      <c r="AE171" s="7"/>
    </row>
    <row r="172" spans="2:31">
      <c r="B172" s="2"/>
      <c r="C172" s="2"/>
      <c r="D172" s="2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4"/>
      <c r="S172" s="4"/>
      <c r="T172" s="4"/>
      <c r="U172" s="5"/>
      <c r="V172" s="5"/>
      <c r="W172" s="5"/>
      <c r="X172" s="5"/>
      <c r="Y172" s="5"/>
      <c r="Z172" s="5"/>
      <c r="AA172" s="5"/>
      <c r="AB172" s="6"/>
      <c r="AC172" s="6"/>
      <c r="AD172" s="6"/>
      <c r="AE172" s="7"/>
    </row>
    <row r="173" spans="2:31">
      <c r="B173" s="2"/>
      <c r="C173" s="2"/>
      <c r="D173" s="2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4"/>
      <c r="S173" s="4"/>
      <c r="T173" s="4"/>
      <c r="U173" s="5"/>
      <c r="V173" s="5"/>
      <c r="W173" s="5"/>
      <c r="X173" s="5"/>
      <c r="Y173" s="5"/>
      <c r="Z173" s="5"/>
      <c r="AA173" s="5"/>
      <c r="AB173" s="6"/>
      <c r="AC173" s="6"/>
      <c r="AD173" s="6"/>
      <c r="AE173" s="7"/>
    </row>
    <row r="174" spans="2:31">
      <c r="B174" s="2"/>
      <c r="C174" s="2"/>
      <c r="D174" s="2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4"/>
      <c r="S174" s="4"/>
      <c r="T174" s="4"/>
      <c r="U174" s="5"/>
      <c r="V174" s="5"/>
      <c r="W174" s="5"/>
      <c r="X174" s="5"/>
      <c r="Y174" s="5"/>
      <c r="Z174" s="5"/>
      <c r="AA174" s="5"/>
      <c r="AB174" s="6"/>
      <c r="AC174" s="6"/>
      <c r="AD174" s="6"/>
      <c r="AE174" s="7"/>
    </row>
    <row r="175" spans="2:31">
      <c r="B175" s="2"/>
      <c r="C175" s="2"/>
      <c r="D175" s="2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4"/>
      <c r="S175" s="4"/>
      <c r="T175" s="4"/>
      <c r="U175" s="5"/>
      <c r="V175" s="5"/>
      <c r="W175" s="5"/>
      <c r="X175" s="5"/>
      <c r="Y175" s="5"/>
      <c r="Z175" s="5"/>
      <c r="AA175" s="5"/>
      <c r="AB175" s="6"/>
      <c r="AC175" s="6"/>
      <c r="AD175" s="6"/>
      <c r="AE175" s="7"/>
    </row>
    <row r="176" spans="2:31">
      <c r="B176" s="2"/>
      <c r="C176" s="2"/>
      <c r="D176" s="2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4"/>
      <c r="S176" s="4"/>
      <c r="T176" s="4"/>
      <c r="U176" s="5"/>
      <c r="V176" s="5"/>
      <c r="W176" s="5"/>
      <c r="X176" s="5"/>
      <c r="Y176" s="5"/>
      <c r="Z176" s="5"/>
      <c r="AA176" s="5"/>
      <c r="AB176" s="6"/>
      <c r="AC176" s="6"/>
      <c r="AD176" s="6"/>
      <c r="AE176" s="7"/>
    </row>
    <row r="177" spans="2:31">
      <c r="B177" s="2"/>
      <c r="C177" s="2"/>
      <c r="D177" s="2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4"/>
      <c r="S177" s="4"/>
      <c r="T177" s="4"/>
      <c r="U177" s="5"/>
      <c r="V177" s="5"/>
      <c r="W177" s="5"/>
      <c r="X177" s="5"/>
      <c r="Y177" s="5"/>
      <c r="Z177" s="5"/>
      <c r="AA177" s="5"/>
      <c r="AB177" s="6"/>
      <c r="AC177" s="6"/>
      <c r="AD177" s="6"/>
      <c r="AE177" s="7"/>
    </row>
    <row r="178" spans="2:31">
      <c r="B178" s="2"/>
      <c r="C178" s="2"/>
      <c r="D178" s="2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4"/>
      <c r="S178" s="4"/>
      <c r="T178" s="4"/>
      <c r="U178" s="5"/>
      <c r="V178" s="5"/>
      <c r="W178" s="5"/>
      <c r="X178" s="5"/>
      <c r="Y178" s="5"/>
      <c r="Z178" s="5"/>
      <c r="AA178" s="5"/>
      <c r="AB178" s="6"/>
      <c r="AC178" s="6"/>
      <c r="AD178" s="6"/>
      <c r="AE178" s="7"/>
    </row>
    <row r="179" spans="2:31">
      <c r="B179" s="2"/>
      <c r="C179" s="2"/>
      <c r="D179" s="2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4"/>
      <c r="S179" s="4"/>
      <c r="T179" s="4"/>
      <c r="U179" s="5"/>
      <c r="V179" s="5"/>
      <c r="W179" s="5"/>
      <c r="X179" s="5"/>
      <c r="Y179" s="5"/>
      <c r="Z179" s="5"/>
      <c r="AA179" s="5"/>
      <c r="AB179" s="6"/>
      <c r="AC179" s="6"/>
      <c r="AD179" s="6"/>
      <c r="AE179" s="7"/>
    </row>
    <row r="180" spans="2:31">
      <c r="B180" s="2"/>
      <c r="C180" s="2"/>
      <c r="D180" s="2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4"/>
      <c r="S180" s="4"/>
      <c r="T180" s="4"/>
      <c r="U180" s="5"/>
      <c r="V180" s="5"/>
      <c r="W180" s="5"/>
      <c r="X180" s="5"/>
      <c r="Y180" s="5"/>
      <c r="Z180" s="5"/>
      <c r="AA180" s="5"/>
      <c r="AB180" s="6"/>
      <c r="AC180" s="6"/>
      <c r="AD180" s="6"/>
      <c r="AE180" s="7"/>
    </row>
    <row r="181" spans="2:31">
      <c r="B181" s="2"/>
      <c r="C181" s="2"/>
      <c r="D181" s="2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4"/>
      <c r="S181" s="4"/>
      <c r="T181" s="4"/>
      <c r="U181" s="5"/>
      <c r="V181" s="5"/>
      <c r="W181" s="5"/>
      <c r="X181" s="5"/>
      <c r="Y181" s="5"/>
      <c r="Z181" s="5"/>
      <c r="AA181" s="5"/>
      <c r="AB181" s="6"/>
      <c r="AC181" s="6"/>
      <c r="AD181" s="6"/>
      <c r="AE181" s="7"/>
    </row>
    <row r="182" spans="2:31">
      <c r="B182" s="2"/>
      <c r="C182" s="2"/>
      <c r="D182" s="2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4"/>
      <c r="S182" s="4"/>
      <c r="T182" s="4"/>
      <c r="U182" s="5"/>
      <c r="V182" s="5"/>
      <c r="W182" s="5"/>
      <c r="X182" s="5"/>
      <c r="Y182" s="5"/>
      <c r="Z182" s="5"/>
      <c r="AA182" s="5"/>
      <c r="AB182" s="6"/>
      <c r="AC182" s="6"/>
      <c r="AD182" s="6"/>
      <c r="AE182" s="7"/>
    </row>
    <row r="183" spans="2:31">
      <c r="B183" s="2"/>
      <c r="C183" s="2"/>
      <c r="D183" s="2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4"/>
      <c r="S183" s="4"/>
      <c r="T183" s="4"/>
      <c r="U183" s="5"/>
      <c r="V183" s="5"/>
      <c r="W183" s="5"/>
      <c r="X183" s="5"/>
      <c r="Y183" s="5"/>
      <c r="Z183" s="5"/>
      <c r="AA183" s="5"/>
      <c r="AB183" s="6"/>
      <c r="AC183" s="6"/>
      <c r="AD183" s="6"/>
      <c r="AE183" s="7"/>
    </row>
    <row r="184" spans="2:31">
      <c r="B184" s="2"/>
      <c r="C184" s="2"/>
      <c r="D184" s="2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4"/>
      <c r="S184" s="4"/>
      <c r="T184" s="4"/>
      <c r="U184" s="5"/>
      <c r="V184" s="5"/>
      <c r="W184" s="5"/>
      <c r="X184" s="5"/>
      <c r="Y184" s="5"/>
      <c r="Z184" s="5"/>
      <c r="AA184" s="5"/>
      <c r="AB184" s="6"/>
      <c r="AC184" s="6"/>
      <c r="AD184" s="6"/>
      <c r="AE184" s="7"/>
    </row>
    <row r="185" spans="2:31">
      <c r="B185" s="2"/>
      <c r="C185" s="2"/>
      <c r="D185" s="2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4"/>
      <c r="S185" s="4"/>
      <c r="T185" s="4"/>
      <c r="U185" s="5"/>
      <c r="V185" s="5"/>
      <c r="W185" s="5"/>
      <c r="X185" s="5"/>
      <c r="Y185" s="5"/>
      <c r="Z185" s="5"/>
      <c r="AA185" s="5"/>
      <c r="AB185" s="6"/>
      <c r="AC185" s="6"/>
      <c r="AD185" s="6"/>
      <c r="AE185" s="7"/>
    </row>
    <row r="186" spans="2:31">
      <c r="B186" s="2"/>
      <c r="C186" s="2"/>
      <c r="D186" s="2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4"/>
      <c r="S186" s="4"/>
      <c r="T186" s="4"/>
      <c r="U186" s="5"/>
      <c r="V186" s="5"/>
      <c r="W186" s="5"/>
      <c r="X186" s="5"/>
      <c r="Y186" s="5"/>
      <c r="Z186" s="5"/>
      <c r="AA186" s="5"/>
      <c r="AB186" s="6"/>
      <c r="AC186" s="6"/>
      <c r="AD186" s="6"/>
      <c r="AE186" s="7"/>
    </row>
    <row r="187" spans="2:31">
      <c r="B187" s="2"/>
      <c r="C187" s="2"/>
      <c r="D187" s="2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4"/>
      <c r="S187" s="4"/>
      <c r="T187" s="4"/>
      <c r="U187" s="5"/>
      <c r="V187" s="5"/>
      <c r="W187" s="5"/>
      <c r="X187" s="5"/>
      <c r="Y187" s="5"/>
      <c r="Z187" s="5"/>
      <c r="AA187" s="5"/>
      <c r="AB187" s="6"/>
      <c r="AC187" s="6"/>
      <c r="AD187" s="6"/>
      <c r="AE187" s="7"/>
    </row>
    <row r="188" spans="2:31">
      <c r="B188" s="2"/>
      <c r="C188" s="2"/>
      <c r="D188" s="2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4"/>
      <c r="S188" s="4"/>
      <c r="T188" s="4"/>
      <c r="U188" s="5"/>
      <c r="V188" s="5"/>
      <c r="W188" s="5"/>
      <c r="X188" s="5"/>
      <c r="Y188" s="5"/>
      <c r="Z188" s="5"/>
      <c r="AA188" s="5"/>
      <c r="AB188" s="6"/>
      <c r="AC188" s="6"/>
      <c r="AD188" s="6"/>
      <c r="AE188" s="7"/>
    </row>
    <row r="189" spans="2:31">
      <c r="B189" s="2"/>
      <c r="C189" s="2"/>
      <c r="D189" s="2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6"/>
      <c r="AC189" s="6"/>
      <c r="AD189" s="6"/>
      <c r="AE189" s="7"/>
    </row>
    <row r="190" spans="2:31">
      <c r="B190" s="2"/>
      <c r="C190" s="2"/>
      <c r="D190" s="2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4"/>
      <c r="S190" s="4"/>
      <c r="T190" s="4"/>
      <c r="U190" s="5"/>
      <c r="V190" s="5"/>
      <c r="W190" s="5"/>
      <c r="X190" s="5"/>
      <c r="Y190" s="5"/>
      <c r="Z190" s="5"/>
      <c r="AA190" s="5"/>
      <c r="AB190" s="6"/>
      <c r="AC190" s="6"/>
      <c r="AD190" s="6"/>
      <c r="AE190" s="7"/>
    </row>
    <row r="191" spans="2:31">
      <c r="B191" s="2"/>
      <c r="C191" s="2"/>
      <c r="D191" s="2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4"/>
      <c r="S191" s="4"/>
      <c r="T191" s="4"/>
      <c r="U191" s="5"/>
      <c r="V191" s="5"/>
      <c r="W191" s="5"/>
      <c r="X191" s="5"/>
      <c r="Y191" s="5"/>
      <c r="Z191" s="5"/>
      <c r="AA191" s="5"/>
      <c r="AB191" s="6"/>
      <c r="AC191" s="6"/>
      <c r="AD191" s="6"/>
      <c r="AE191" s="7"/>
    </row>
    <row r="192" spans="2:31">
      <c r="B192" s="2"/>
      <c r="C192" s="2"/>
      <c r="D192" s="2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4"/>
      <c r="S192" s="4"/>
      <c r="T192" s="4"/>
      <c r="U192" s="5"/>
      <c r="V192" s="5"/>
      <c r="W192" s="5"/>
      <c r="X192" s="5"/>
      <c r="Y192" s="5"/>
      <c r="Z192" s="5"/>
      <c r="AA192" s="5"/>
      <c r="AB192" s="6"/>
      <c r="AC192" s="6"/>
      <c r="AD192" s="6"/>
      <c r="AE192" s="7"/>
    </row>
    <row r="193" spans="2:31">
      <c r="B193" s="2"/>
      <c r="C193" s="2"/>
      <c r="D193" s="2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4"/>
      <c r="S193" s="4"/>
      <c r="T193" s="4"/>
      <c r="U193" s="5"/>
      <c r="V193" s="5"/>
      <c r="W193" s="5"/>
      <c r="X193" s="5"/>
      <c r="Y193" s="5"/>
      <c r="Z193" s="5"/>
      <c r="AA193" s="5"/>
      <c r="AB193" s="6"/>
      <c r="AC193" s="6"/>
      <c r="AD193" s="6"/>
      <c r="AE193" s="7"/>
    </row>
    <row r="194" spans="2:31">
      <c r="B194" s="2"/>
      <c r="C194" s="2"/>
      <c r="D194" s="2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4"/>
      <c r="S194" s="4"/>
      <c r="T194" s="4"/>
      <c r="U194" s="5"/>
      <c r="V194" s="5"/>
      <c r="W194" s="5"/>
      <c r="X194" s="5"/>
      <c r="Y194" s="5"/>
      <c r="Z194" s="5"/>
      <c r="AA194" s="5"/>
      <c r="AB194" s="6"/>
      <c r="AC194" s="6"/>
      <c r="AD194" s="6"/>
      <c r="AE194" s="7"/>
    </row>
    <row r="195" spans="2:31">
      <c r="B195" s="2"/>
      <c r="C195" s="2"/>
      <c r="D195" s="2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4"/>
      <c r="S195" s="4"/>
      <c r="T195" s="4"/>
      <c r="U195" s="5"/>
      <c r="V195" s="5"/>
      <c r="W195" s="5"/>
      <c r="X195" s="5"/>
      <c r="Y195" s="5"/>
      <c r="Z195" s="5"/>
      <c r="AA195" s="5"/>
      <c r="AB195" s="6"/>
      <c r="AC195" s="6"/>
      <c r="AD195" s="6"/>
      <c r="AE195" s="7"/>
    </row>
    <row r="196" spans="2:31">
      <c r="B196" s="2"/>
      <c r="C196" s="2"/>
      <c r="D196" s="2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4"/>
      <c r="S196" s="4"/>
      <c r="T196" s="4"/>
      <c r="U196" s="5"/>
      <c r="V196" s="5"/>
      <c r="W196" s="5"/>
      <c r="X196" s="5"/>
      <c r="Y196" s="5"/>
      <c r="Z196" s="5"/>
      <c r="AA196" s="5"/>
      <c r="AB196" s="6"/>
      <c r="AC196" s="6"/>
      <c r="AD196" s="6"/>
      <c r="AE196" s="7"/>
    </row>
    <row r="197" spans="2:31">
      <c r="B197" s="2"/>
      <c r="C197" s="2"/>
      <c r="D197" s="2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4"/>
      <c r="S197" s="4"/>
      <c r="T197" s="4"/>
      <c r="U197" s="5"/>
      <c r="V197" s="5"/>
      <c r="W197" s="5"/>
      <c r="X197" s="5"/>
      <c r="Y197" s="5"/>
      <c r="Z197" s="5"/>
      <c r="AA197" s="5"/>
      <c r="AB197" s="6"/>
      <c r="AC197" s="6"/>
      <c r="AD197" s="6"/>
      <c r="AE197" s="7"/>
    </row>
    <row r="198" spans="2:31">
      <c r="B198" s="2"/>
      <c r="C198" s="2"/>
      <c r="D198" s="2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4"/>
      <c r="S198" s="4"/>
      <c r="T198" s="4"/>
      <c r="U198" s="5"/>
      <c r="V198" s="5"/>
      <c r="W198" s="5"/>
      <c r="X198" s="5"/>
      <c r="Y198" s="5"/>
      <c r="Z198" s="5"/>
      <c r="AA198" s="5"/>
      <c r="AB198" s="6"/>
      <c r="AC198" s="6"/>
      <c r="AD198" s="6"/>
      <c r="AE198" s="7"/>
    </row>
    <row r="199" spans="2:31">
      <c r="B199" s="2"/>
      <c r="C199" s="2"/>
      <c r="D199" s="2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4"/>
      <c r="S199" s="4"/>
      <c r="T199" s="4"/>
      <c r="U199" s="5"/>
      <c r="V199" s="5"/>
      <c r="W199" s="5"/>
      <c r="X199" s="5"/>
      <c r="Y199" s="5"/>
      <c r="Z199" s="5"/>
      <c r="AA199" s="5"/>
      <c r="AB199" s="6"/>
      <c r="AC199" s="6"/>
      <c r="AD199" s="6"/>
      <c r="AE199" s="7"/>
    </row>
    <row r="200" spans="2:31">
      <c r="B200" s="2"/>
      <c r="C200" s="2"/>
      <c r="D200" s="2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4"/>
      <c r="S200" s="4"/>
      <c r="T200" s="4"/>
      <c r="U200" s="5"/>
      <c r="V200" s="5"/>
      <c r="W200" s="5"/>
      <c r="X200" s="5"/>
      <c r="Y200" s="5"/>
      <c r="Z200" s="5"/>
      <c r="AA200" s="5"/>
      <c r="AB200" s="6"/>
      <c r="AC200" s="6"/>
      <c r="AD200" s="6"/>
      <c r="AE200" s="7"/>
    </row>
    <row r="201" spans="2:31">
      <c r="B201" s="2"/>
      <c r="C201" s="2"/>
      <c r="D201" s="2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4"/>
      <c r="S201" s="4"/>
      <c r="T201" s="4"/>
      <c r="U201" s="5"/>
      <c r="V201" s="5"/>
      <c r="W201" s="5"/>
      <c r="X201" s="5"/>
      <c r="Y201" s="5"/>
      <c r="Z201" s="5"/>
      <c r="AA201" s="5"/>
      <c r="AB201" s="6"/>
      <c r="AC201" s="6"/>
      <c r="AD201" s="6"/>
      <c r="AE201" s="7"/>
    </row>
    <row r="202" spans="2:31">
      <c r="B202" s="2"/>
      <c r="C202" s="2"/>
      <c r="D202" s="2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4"/>
      <c r="S202" s="4"/>
      <c r="T202" s="4"/>
      <c r="U202" s="5"/>
      <c r="V202" s="5"/>
      <c r="W202" s="5"/>
      <c r="X202" s="5"/>
      <c r="Y202" s="5"/>
      <c r="Z202" s="5"/>
      <c r="AA202" s="5"/>
      <c r="AB202" s="6"/>
      <c r="AC202" s="6"/>
      <c r="AD202" s="6"/>
      <c r="AE202" s="7"/>
    </row>
    <row r="203" spans="2:31">
      <c r="B203" s="2"/>
      <c r="C203" s="2"/>
      <c r="D203" s="2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4"/>
      <c r="S203" s="4"/>
      <c r="T203" s="4"/>
      <c r="U203" s="5"/>
      <c r="V203" s="5"/>
      <c r="W203" s="5"/>
      <c r="X203" s="5"/>
      <c r="Y203" s="5"/>
      <c r="Z203" s="5"/>
      <c r="AA203" s="5"/>
      <c r="AB203" s="6"/>
      <c r="AC203" s="6"/>
      <c r="AD203" s="6"/>
      <c r="AE203" s="7"/>
    </row>
    <row r="204" spans="2:31">
      <c r="B204" s="2"/>
      <c r="C204" s="2"/>
      <c r="D204" s="2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4"/>
      <c r="S204" s="4"/>
      <c r="T204" s="4"/>
      <c r="U204" s="5"/>
      <c r="V204" s="5"/>
      <c r="W204" s="5"/>
      <c r="X204" s="5"/>
      <c r="Y204" s="5"/>
      <c r="Z204" s="5"/>
      <c r="AA204" s="5"/>
      <c r="AB204" s="6"/>
      <c r="AC204" s="6"/>
      <c r="AD204" s="6"/>
      <c r="AE204" s="7"/>
    </row>
    <row r="205" spans="2:31">
      <c r="B205" s="2"/>
      <c r="C205" s="2"/>
      <c r="D205" s="2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4"/>
      <c r="S205" s="4"/>
      <c r="T205" s="4"/>
      <c r="U205" s="5"/>
      <c r="V205" s="5"/>
      <c r="W205" s="5"/>
      <c r="X205" s="5"/>
      <c r="Y205" s="5"/>
      <c r="Z205" s="5"/>
      <c r="AA205" s="5"/>
      <c r="AB205" s="6"/>
      <c r="AC205" s="6"/>
      <c r="AD205" s="6"/>
      <c r="AE205" s="7"/>
    </row>
    <row r="206" spans="2:31">
      <c r="B206" s="2"/>
      <c r="C206" s="2"/>
      <c r="D206" s="2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4"/>
      <c r="S206" s="4"/>
      <c r="T206" s="4"/>
      <c r="U206" s="5"/>
      <c r="V206" s="5"/>
      <c r="W206" s="5"/>
      <c r="X206" s="5"/>
      <c r="Y206" s="5"/>
      <c r="Z206" s="5"/>
      <c r="AA206" s="5"/>
      <c r="AB206" s="6"/>
      <c r="AC206" s="6"/>
      <c r="AD206" s="6"/>
      <c r="AE206" s="7"/>
    </row>
    <row r="207" spans="2:31">
      <c r="B207" s="2"/>
      <c r="C207" s="2"/>
      <c r="D207" s="2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4"/>
      <c r="S207" s="4"/>
      <c r="T207" s="4"/>
      <c r="U207" s="5"/>
      <c r="V207" s="5"/>
      <c r="W207" s="5"/>
      <c r="X207" s="5"/>
      <c r="Y207" s="5"/>
      <c r="Z207" s="5"/>
      <c r="AA207" s="5"/>
      <c r="AB207" s="6"/>
      <c r="AC207" s="6"/>
      <c r="AD207" s="6"/>
      <c r="AE207" s="7"/>
    </row>
    <row r="208" spans="2:31">
      <c r="B208" s="2"/>
      <c r="C208" s="2"/>
      <c r="D208" s="2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4"/>
      <c r="S208" s="4"/>
      <c r="T208" s="4"/>
      <c r="U208" s="5"/>
      <c r="V208" s="5"/>
      <c r="W208" s="5"/>
      <c r="X208" s="5"/>
      <c r="Y208" s="5"/>
      <c r="Z208" s="5"/>
      <c r="AA208" s="5"/>
      <c r="AB208" s="6"/>
      <c r="AC208" s="6"/>
      <c r="AD208" s="6"/>
      <c r="AE208" s="7"/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27"/>
  <sheetViews>
    <sheetView topLeftCell="B1" zoomScale="125" workbookViewId="0">
      <selection activeCell="S8" sqref="S8"/>
    </sheetView>
  </sheetViews>
  <sheetFormatPr defaultColWidth="11" defaultRowHeight="15.5"/>
  <sheetData>
    <row r="3" spans="1:3">
      <c r="A3" t="s">
        <v>148</v>
      </c>
      <c r="B3" t="s">
        <v>145</v>
      </c>
      <c r="C3" t="s">
        <v>39</v>
      </c>
    </row>
    <row r="4" spans="1:3">
      <c r="A4">
        <v>400</v>
      </c>
      <c r="B4">
        <v>3</v>
      </c>
      <c r="C4">
        <v>1</v>
      </c>
    </row>
    <row r="5" spans="1:3">
      <c r="A5">
        <v>100</v>
      </c>
      <c r="B5">
        <v>1</v>
      </c>
      <c r="C5">
        <v>0</v>
      </c>
    </row>
    <row r="6" spans="1:3">
      <c r="A6">
        <v>700</v>
      </c>
      <c r="B6">
        <v>10</v>
      </c>
      <c r="C6">
        <v>11</v>
      </c>
    </row>
    <row r="7" spans="1:3">
      <c r="A7" t="s">
        <v>41</v>
      </c>
      <c r="B7">
        <v>1</v>
      </c>
      <c r="C7">
        <v>1</v>
      </c>
    </row>
    <row r="8" spans="1:3">
      <c r="A8">
        <v>750</v>
      </c>
      <c r="B8">
        <v>2</v>
      </c>
      <c r="C8">
        <v>3</v>
      </c>
    </row>
    <row r="9" spans="1:3">
      <c r="A9" t="s">
        <v>44</v>
      </c>
      <c r="B9">
        <v>2</v>
      </c>
      <c r="C9">
        <v>1</v>
      </c>
    </row>
    <row r="10" spans="1:3">
      <c r="A10" t="s">
        <v>47</v>
      </c>
      <c r="B10">
        <v>1</v>
      </c>
      <c r="C10">
        <v>0</v>
      </c>
    </row>
    <row r="11" spans="1:3">
      <c r="A11">
        <v>500</v>
      </c>
      <c r="B11">
        <v>3</v>
      </c>
      <c r="C11">
        <v>1</v>
      </c>
    </row>
    <row r="12" spans="1:3">
      <c r="A12">
        <v>470</v>
      </c>
      <c r="B12">
        <v>4</v>
      </c>
      <c r="C12">
        <v>2</v>
      </c>
    </row>
    <row r="13" spans="1:3">
      <c r="A13">
        <v>300</v>
      </c>
      <c r="B13">
        <v>2</v>
      </c>
      <c r="C13">
        <v>1</v>
      </c>
    </row>
    <row r="14" spans="1:3">
      <c r="A14" t="s">
        <v>60</v>
      </c>
      <c r="B14">
        <v>1</v>
      </c>
      <c r="C14">
        <v>0</v>
      </c>
    </row>
    <row r="15" spans="1:3">
      <c r="A15" t="s">
        <v>129</v>
      </c>
      <c r="B15">
        <v>2</v>
      </c>
      <c r="C15">
        <v>1</v>
      </c>
    </row>
    <row r="16" spans="1:3">
      <c r="A16" t="s">
        <v>146</v>
      </c>
      <c r="B16">
        <v>1</v>
      </c>
      <c r="C16">
        <v>0</v>
      </c>
    </row>
    <row r="17" spans="1:3">
      <c r="A17">
        <v>740</v>
      </c>
      <c r="B17">
        <v>2</v>
      </c>
      <c r="C17">
        <v>3</v>
      </c>
    </row>
    <row r="18" spans="1:3">
      <c r="A18" t="s">
        <v>113</v>
      </c>
      <c r="B18">
        <v>1</v>
      </c>
      <c r="C18">
        <v>0</v>
      </c>
    </row>
    <row r="19" spans="1:3">
      <c r="A19" t="s">
        <v>132</v>
      </c>
      <c r="B19">
        <v>1</v>
      </c>
      <c r="C19">
        <v>0</v>
      </c>
    </row>
    <row r="20" spans="1:3">
      <c r="A20">
        <v>540</v>
      </c>
      <c r="B20">
        <v>1</v>
      </c>
      <c r="C20">
        <v>1</v>
      </c>
    </row>
    <row r="21" spans="1:3">
      <c r="A21">
        <v>450</v>
      </c>
      <c r="B21">
        <v>2</v>
      </c>
      <c r="C21">
        <v>0</v>
      </c>
    </row>
    <row r="22" spans="1:3">
      <c r="A22" t="s">
        <v>147</v>
      </c>
      <c r="B22">
        <v>0</v>
      </c>
      <c r="C22">
        <v>1</v>
      </c>
    </row>
    <row r="23" spans="1:3">
      <c r="A23" t="s">
        <v>70</v>
      </c>
      <c r="B23">
        <v>0</v>
      </c>
      <c r="C23">
        <v>1</v>
      </c>
    </row>
    <row r="24" spans="1:3">
      <c r="A24">
        <v>2400</v>
      </c>
      <c r="B24">
        <v>0</v>
      </c>
      <c r="C24">
        <v>1</v>
      </c>
    </row>
    <row r="25" spans="1:3">
      <c r="A25" t="s">
        <v>130</v>
      </c>
      <c r="B25">
        <v>0</v>
      </c>
      <c r="C25">
        <v>1</v>
      </c>
    </row>
    <row r="26" spans="1:3">
      <c r="A26">
        <v>0</v>
      </c>
      <c r="B26">
        <v>1</v>
      </c>
      <c r="C26">
        <v>1</v>
      </c>
    </row>
    <row r="27" spans="1:3">
      <c r="A27" t="s">
        <v>82</v>
      </c>
      <c r="B27">
        <f>SUM(B4:B26)</f>
        <v>41</v>
      </c>
      <c r="C27">
        <f>SUM(C4:C26)</f>
        <v>31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58"/>
  <sheetViews>
    <sheetView workbookViewId="0">
      <selection activeCell="K13" sqref="K13"/>
    </sheetView>
  </sheetViews>
  <sheetFormatPr defaultColWidth="11" defaultRowHeight="15.5"/>
  <cols>
    <col min="4" max="4" width="19" customWidth="1"/>
    <col min="7" max="7" width="12.08203125" bestFit="1" customWidth="1"/>
    <col min="33" max="33" width="18" customWidth="1"/>
  </cols>
  <sheetData>
    <row r="1" spans="1:34">
      <c r="B1" t="s">
        <v>193</v>
      </c>
      <c r="C1" t="s">
        <v>194</v>
      </c>
      <c r="D1" t="s">
        <v>195</v>
      </c>
      <c r="E1" t="s">
        <v>196</v>
      </c>
      <c r="AC1" t="s">
        <v>198</v>
      </c>
    </row>
    <row r="2" spans="1:34">
      <c r="B2" s="2" t="s">
        <v>3</v>
      </c>
      <c r="C2" s="2" t="s">
        <v>4</v>
      </c>
      <c r="D2" s="2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4" t="s">
        <v>17</v>
      </c>
      <c r="Q2" s="4" t="s">
        <v>18</v>
      </c>
      <c r="R2" s="4" t="s">
        <v>19</v>
      </c>
      <c r="S2" s="5" t="s">
        <v>20</v>
      </c>
      <c r="T2" s="5" t="s">
        <v>21</v>
      </c>
      <c r="U2" s="5" t="s">
        <v>22</v>
      </c>
      <c r="V2" s="5" t="s">
        <v>23</v>
      </c>
      <c r="W2" s="5" t="s">
        <v>24</v>
      </c>
      <c r="X2" s="5" t="s">
        <v>25</v>
      </c>
      <c r="Y2" s="5" t="s">
        <v>26</v>
      </c>
      <c r="Z2" s="6" t="s">
        <v>27</v>
      </c>
      <c r="AA2" s="6" t="s">
        <v>28</v>
      </c>
      <c r="AB2" s="6" t="s">
        <v>29</v>
      </c>
      <c r="AC2" s="23" t="s">
        <v>79</v>
      </c>
      <c r="AD2" s="23" t="s">
        <v>80</v>
      </c>
      <c r="AE2" s="23" t="s">
        <v>81</v>
      </c>
      <c r="AF2" s="23" t="s">
        <v>197</v>
      </c>
      <c r="AG2" s="24" t="s">
        <v>199</v>
      </c>
      <c r="AH2" s="11" t="s">
        <v>200</v>
      </c>
    </row>
    <row r="3" spans="1:34">
      <c r="A3" s="1" t="s">
        <v>145</v>
      </c>
      <c r="B3">
        <f>8/41</f>
        <v>0.1951219512195122</v>
      </c>
      <c r="C3">
        <f>22/41</f>
        <v>0.53658536585365857</v>
      </c>
      <c r="D3">
        <f>2/41</f>
        <v>4.878048780487805E-2</v>
      </c>
      <c r="E3">
        <f>4/41</f>
        <v>9.7560975609756101E-2</v>
      </c>
      <c r="F3">
        <f>4/41</f>
        <v>9.7560975609756101E-2</v>
      </c>
      <c r="G3">
        <f>5/41</f>
        <v>0.12195121951219512</v>
      </c>
      <c r="H3">
        <f>8/41</f>
        <v>0.1951219512195122</v>
      </c>
      <c r="I3">
        <f>15/41</f>
        <v>0.36585365853658536</v>
      </c>
      <c r="J3">
        <f>11/41</f>
        <v>0.26829268292682928</v>
      </c>
      <c r="K3">
        <v>0</v>
      </c>
      <c r="L3">
        <v>0</v>
      </c>
      <c r="M3">
        <f>28/41</f>
        <v>0.68292682926829273</v>
      </c>
      <c r="N3">
        <f>5/41</f>
        <v>0.12195121951219512</v>
      </c>
      <c r="O3">
        <v>0</v>
      </c>
      <c r="P3">
        <v>0</v>
      </c>
      <c r="Q3">
        <f>1/41</f>
        <v>2.4390243902439025E-2</v>
      </c>
      <c r="R3">
        <f>2/41</f>
        <v>4.878048780487805E-2</v>
      </c>
      <c r="S3">
        <f>18/41</f>
        <v>0.43902439024390244</v>
      </c>
      <c r="T3">
        <f>8/41</f>
        <v>0.1951219512195122</v>
      </c>
      <c r="U3">
        <f>1/41</f>
        <v>2.4390243902439025E-2</v>
      </c>
      <c r="V3">
        <f>12/41</f>
        <v>0.29268292682926828</v>
      </c>
      <c r="W3">
        <f>1/41</f>
        <v>2.4390243902439025E-2</v>
      </c>
      <c r="X3">
        <f>1/41</f>
        <v>2.4390243902439025E-2</v>
      </c>
      <c r="Y3">
        <v>0</v>
      </c>
      <c r="Z3">
        <v>0</v>
      </c>
      <c r="AA3">
        <f>7/41</f>
        <v>0.17073170731707318</v>
      </c>
      <c r="AB3">
        <f>2/41</f>
        <v>4.878048780487805E-2</v>
      </c>
      <c r="AC3">
        <f>3/41</f>
        <v>7.3170731707317069E-2</v>
      </c>
      <c r="AD3">
        <f>5/41</f>
        <v>0.12195121951219512</v>
      </c>
      <c r="AE3">
        <f>9/41</f>
        <v>0.21951219512195122</v>
      </c>
      <c r="AF3">
        <f>7/41</f>
        <v>0.17073170731707318</v>
      </c>
      <c r="AG3">
        <f>5/41</f>
        <v>0.12195121951219512</v>
      </c>
      <c r="AH3">
        <v>0.24</v>
      </c>
    </row>
    <row r="4" spans="1:34">
      <c r="A4" t="s">
        <v>39</v>
      </c>
      <c r="B4">
        <f>9/30</f>
        <v>0.3</v>
      </c>
      <c r="C4">
        <f>11/30</f>
        <v>0.36666666666666664</v>
      </c>
      <c r="D4">
        <f>4/30</f>
        <v>0.13333333333333333</v>
      </c>
      <c r="E4">
        <f>2/30</f>
        <v>6.6666666666666666E-2</v>
      </c>
      <c r="F4">
        <f>4/30</f>
        <v>0.13333333333333333</v>
      </c>
      <c r="G4">
        <v>0</v>
      </c>
      <c r="H4">
        <f>5/30</f>
        <v>0.16666666666666666</v>
      </c>
      <c r="I4">
        <f>8/30</f>
        <v>0.26666666666666666</v>
      </c>
      <c r="J4">
        <f>5/30</f>
        <v>0.16666666666666666</v>
      </c>
      <c r="K4">
        <v>0</v>
      </c>
      <c r="L4">
        <v>0</v>
      </c>
      <c r="M4">
        <f>24/30</f>
        <v>0.8</v>
      </c>
      <c r="N4">
        <f>3/30</f>
        <v>0.1</v>
      </c>
      <c r="O4">
        <v>0</v>
      </c>
      <c r="P4">
        <v>0</v>
      </c>
      <c r="Q4">
        <v>0</v>
      </c>
      <c r="R4">
        <f>1/30</f>
        <v>3.3333333333333333E-2</v>
      </c>
      <c r="S4">
        <f>10/30</f>
        <v>0.33333333333333331</v>
      </c>
      <c r="T4">
        <f>6/30</f>
        <v>0.2</v>
      </c>
      <c r="U4">
        <v>0</v>
      </c>
      <c r="V4">
        <f>7/30</f>
        <v>0.23333333333333334</v>
      </c>
      <c r="W4">
        <v>0</v>
      </c>
      <c r="Y4">
        <v>0</v>
      </c>
      <c r="Z4">
        <v>0</v>
      </c>
      <c r="AA4">
        <f>5/30</f>
        <v>0.16666666666666666</v>
      </c>
      <c r="AB4">
        <f>1/30</f>
        <v>3.3333333333333333E-2</v>
      </c>
      <c r="AC4">
        <f>1/30</f>
        <v>3.3333333333333333E-2</v>
      </c>
      <c r="AD4">
        <v>0</v>
      </c>
      <c r="AE4">
        <f>6/30</f>
        <v>0.2</v>
      </c>
      <c r="AF4">
        <f>1/30</f>
        <v>3.3333333333333333E-2</v>
      </c>
      <c r="AG4">
        <v>0</v>
      </c>
      <c r="AH4">
        <v>0.1</v>
      </c>
    </row>
    <row r="5" spans="1:34">
      <c r="M5">
        <f>28+24</f>
        <v>52</v>
      </c>
    </row>
    <row r="8" spans="1:34">
      <c r="D8" t="s">
        <v>222</v>
      </c>
    </row>
    <row r="9" spans="1:34">
      <c r="D9" s="2">
        <v>59</v>
      </c>
      <c r="E9">
        <v>80</v>
      </c>
      <c r="G9">
        <f>TTEST(D9:D31,E9:E56,2,2)</f>
        <v>1.1060217415593601E-7</v>
      </c>
    </row>
    <row r="10" spans="1:34">
      <c r="D10" s="18">
        <v>89</v>
      </c>
      <c r="E10">
        <v>74</v>
      </c>
    </row>
    <row r="11" spans="1:34">
      <c r="D11" s="18">
        <v>84</v>
      </c>
      <c r="E11">
        <v>51</v>
      </c>
    </row>
    <row r="12" spans="1:34">
      <c r="D12" s="18">
        <v>84</v>
      </c>
      <c r="E12">
        <v>59</v>
      </c>
    </row>
    <row r="13" spans="1:34">
      <c r="D13" s="18">
        <v>84</v>
      </c>
      <c r="E13">
        <v>84</v>
      </c>
    </row>
    <row r="14" spans="1:34">
      <c r="D14" s="18">
        <v>84</v>
      </c>
      <c r="E14">
        <v>59</v>
      </c>
    </row>
    <row r="15" spans="1:34">
      <c r="D15" s="18">
        <v>89</v>
      </c>
      <c r="E15">
        <v>80</v>
      </c>
    </row>
    <row r="16" spans="1:34">
      <c r="D16" s="18">
        <v>94</v>
      </c>
      <c r="E16">
        <v>43</v>
      </c>
    </row>
    <row r="17" spans="4:5">
      <c r="D17" s="18">
        <v>89</v>
      </c>
      <c r="E17">
        <v>59</v>
      </c>
    </row>
    <row r="18" spans="4:5">
      <c r="D18" s="18">
        <v>84</v>
      </c>
      <c r="E18">
        <v>84</v>
      </c>
    </row>
    <row r="19" spans="4:5">
      <c r="D19" s="18">
        <v>94</v>
      </c>
      <c r="E19">
        <v>59</v>
      </c>
    </row>
    <row r="20" spans="4:5">
      <c r="D20" s="18">
        <v>89</v>
      </c>
      <c r="E20">
        <v>80</v>
      </c>
    </row>
    <row r="21" spans="4:5">
      <c r="D21" s="27">
        <v>80</v>
      </c>
      <c r="E21">
        <v>51</v>
      </c>
    </row>
    <row r="22" spans="4:5">
      <c r="D22" s="27">
        <v>89</v>
      </c>
      <c r="E22">
        <v>74</v>
      </c>
    </row>
    <row r="23" spans="4:5">
      <c r="D23" s="18">
        <v>89</v>
      </c>
      <c r="E23">
        <v>70</v>
      </c>
    </row>
    <row r="24" spans="4:5">
      <c r="D24" s="18">
        <v>84</v>
      </c>
      <c r="E24">
        <v>74</v>
      </c>
    </row>
    <row r="25" spans="4:5">
      <c r="D25" s="18">
        <v>89</v>
      </c>
      <c r="E25">
        <v>39</v>
      </c>
    </row>
    <row r="26" spans="4:5">
      <c r="D26" s="18">
        <v>74</v>
      </c>
      <c r="E26">
        <v>84</v>
      </c>
    </row>
    <row r="27" spans="4:5">
      <c r="D27" s="18">
        <v>84</v>
      </c>
      <c r="E27">
        <v>35</v>
      </c>
    </row>
    <row r="28" spans="4:5">
      <c r="D28" s="18">
        <v>84</v>
      </c>
      <c r="E28">
        <v>74</v>
      </c>
    </row>
    <row r="29" spans="4:5">
      <c r="D29" s="18">
        <v>89</v>
      </c>
      <c r="E29">
        <v>89</v>
      </c>
    </row>
    <row r="30" spans="4:5">
      <c r="D30" s="18">
        <v>84</v>
      </c>
      <c r="E30">
        <v>43</v>
      </c>
    </row>
    <row r="31" spans="4:5">
      <c r="D31" s="18">
        <v>94</v>
      </c>
      <c r="E31">
        <v>65</v>
      </c>
    </row>
    <row r="32" spans="4:5">
      <c r="D32" s="18"/>
      <c r="E32">
        <v>89</v>
      </c>
    </row>
    <row r="33" spans="4:5">
      <c r="D33" s="18"/>
      <c r="E33">
        <v>70</v>
      </c>
    </row>
    <row r="34" spans="4:5">
      <c r="D34" s="18"/>
      <c r="E34">
        <v>51</v>
      </c>
    </row>
    <row r="35" spans="4:5">
      <c r="E35">
        <v>70</v>
      </c>
    </row>
    <row r="36" spans="4:5">
      <c r="E36">
        <v>74</v>
      </c>
    </row>
    <row r="37" spans="4:5">
      <c r="E37">
        <v>80</v>
      </c>
    </row>
    <row r="38" spans="4:5">
      <c r="E38">
        <v>59</v>
      </c>
    </row>
    <row r="39" spans="4:5">
      <c r="E39">
        <v>65</v>
      </c>
    </row>
    <row r="40" spans="4:5">
      <c r="E40">
        <v>51</v>
      </c>
    </row>
    <row r="41" spans="4:5">
      <c r="E41">
        <v>24</v>
      </c>
    </row>
    <row r="42" spans="4:5">
      <c r="E42">
        <v>80</v>
      </c>
    </row>
    <row r="43" spans="4:5">
      <c r="E43">
        <v>74</v>
      </c>
    </row>
    <row r="44" spans="4:5">
      <c r="E44">
        <v>65</v>
      </c>
    </row>
    <row r="45" spans="4:5">
      <c r="E45">
        <v>59</v>
      </c>
    </row>
    <row r="46" spans="4:5">
      <c r="E46">
        <v>59</v>
      </c>
    </row>
    <row r="47" spans="4:5">
      <c r="E47">
        <v>74</v>
      </c>
    </row>
    <row r="48" spans="4:5">
      <c r="E48">
        <v>51</v>
      </c>
    </row>
    <row r="49" spans="4:5">
      <c r="E49">
        <v>59</v>
      </c>
    </row>
    <row r="50" spans="4:5">
      <c r="E50">
        <v>84</v>
      </c>
    </row>
    <row r="51" spans="4:5">
      <c r="E51">
        <v>65</v>
      </c>
    </row>
    <row r="52" spans="4:5">
      <c r="E52">
        <v>84</v>
      </c>
    </row>
    <row r="53" spans="4:5">
      <c r="E53">
        <v>59</v>
      </c>
    </row>
    <row r="54" spans="4:5">
      <c r="E54">
        <v>65</v>
      </c>
    </row>
    <row r="55" spans="4:5">
      <c r="E55">
        <v>74</v>
      </c>
    </row>
    <row r="56" spans="4:5">
      <c r="E56">
        <v>70</v>
      </c>
    </row>
    <row r="58" spans="4:5">
      <c r="D58">
        <f>AVERAGE(D9:D31)</f>
        <v>85.347826086956516</v>
      </c>
      <c r="E58">
        <f>AVERAGE(E9:E56)</f>
        <v>65.9375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POSITIVI</vt:lpstr>
      <vt:lpstr>Analisi cinetica</vt:lpstr>
      <vt:lpstr>CONTROLLI</vt:lpstr>
      <vt:lpstr>STILI PERSONALITA</vt:lpstr>
      <vt:lpstr>Confronto personalità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39335</cp:lastModifiedBy>
  <cp:lastPrinted>2021-09-10T14:46:50Z</cp:lastPrinted>
  <dcterms:created xsi:type="dcterms:W3CDTF">2021-03-20T10:25:47Z</dcterms:created>
  <dcterms:modified xsi:type="dcterms:W3CDTF">2022-11-07T09:54:00Z</dcterms:modified>
</cp:coreProperties>
</file>