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hallenge Specifics-R1" sheetId="1" r:id="rId4"/>
    <sheet state="visible" name="Challenge Specifics-R2" sheetId="2" r:id="rId5"/>
    <sheet state="visible" name="Challenge Specifics-R3" sheetId="3" r:id="rId6"/>
    <sheet state="visible" name="Challenge Specifics-Check" sheetId="4" r:id="rId7"/>
    <sheet state="visible" name="Challenge Specifics-Final" sheetId="5" r:id="rId8"/>
    <sheet state="visible" name="Recommendation Specifics-R1" sheetId="6" r:id="rId9"/>
    <sheet state="visible" name="Recommendation Specifics-R2" sheetId="7" r:id="rId10"/>
    <sheet state="visible" name="Recommendation Specifics-R3" sheetId="8" r:id="rId11"/>
    <sheet state="visible" name="Recommendation Specifics-Check" sheetId="9" r:id="rId12"/>
    <sheet state="visible" name="Recommendation Specifics-Final" sheetId="10" r:id="rId13"/>
    <sheet state="visible" name="Specifics Analysis" sheetId="11" r:id="rId14"/>
    <sheet state="visible" name="Imported Challenges" sheetId="12" r:id="rId15"/>
    <sheet state="visible" name="Imported Recommendations" sheetId="13" r:id="rId16"/>
  </sheets>
  <definedNames>
    <definedName name="RDivergenciasObservacao2">'Recommendation Specifics-Check'!$J:$J</definedName>
    <definedName name="DDivergenciasEspecifico2">'Challenge Specifics-Check'!$I:$I</definedName>
    <definedName name="DDivergenciasObservacao1">'Challenge Specifics-Check'!$H:$H</definedName>
    <definedName name="RDivergenciasObservacao1">'Recommendation Specifics-Check'!$H:$H</definedName>
    <definedName name="DDivergenciasObservacao2">'Challenge Specifics-Check'!$J:$J</definedName>
    <definedName name="RDivergenciasEspecifico2">'Recommendation Specifics-Check'!$I:$I</definedName>
    <definedName name="RDivergenciasEspecifico1">'Recommendation Specifics-Check'!$G:$G</definedName>
    <definedName name="DDivergenciasJuiz">'Challenge Specifics-Check'!$M:$M</definedName>
    <definedName name="RDivergenciasJuiz">'Recommendation Specifics-Check'!$M:$M</definedName>
    <definedName name="DDivergenciasEspecifico1">'Challenge Specifics-Check'!$G:$G</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D37">
      <text>
        <t xml:space="preserve">NÃO FALAMOS DO KAISEN E LEAN NA ABSTRAÇÃO!!!</t>
      </text>
    </comment>
  </commentList>
</comments>
</file>

<file path=xl/sharedStrings.xml><?xml version="1.0" encoding="utf-8"?>
<sst xmlns="http://schemas.openxmlformats.org/spreadsheetml/2006/main" count="3047" uniqueCount="708">
  <si>
    <t>Id</t>
  </si>
  <si>
    <t>Challenge / Recommendation</t>
  </si>
  <si>
    <t>Interview Quotes</t>
  </si>
  <si>
    <t>Abstracts</t>
  </si>
  <si>
    <t>Main Idea</t>
  </si>
  <si>
    <t>Specific</t>
  </si>
  <si>
    <t>Comment</t>
  </si>
  <si>
    <t>challenge</t>
  </si>
  <si>
    <t>no</t>
  </si>
  <si>
    <t>yes</t>
  </si>
  <si>
    <t>VirtualBox is a tool used in many contexts (software development and operation).</t>
  </si>
  <si>
    <t>It is not enough to configure the pipeline. Students can copy pipeline from similar situation. But that doesn't mean they actually learned.</t>
  </si>
  <si>
    <t>They need to learn testing, configuration management, monitoring and more.</t>
  </si>
  <si>
    <t>It is necessary to have a leadership position to be able to implement the necessary changes.</t>
  </si>
  <si>
    <t xml:space="preserve">
It is talking about a CI tool.</t>
  </si>
  <si>
    <t>Pair</t>
  </si>
  <si>
    <t>Specific 1</t>
  </si>
  <si>
    <t>Comment 1</t>
  </si>
  <si>
    <t>Specific 2</t>
  </si>
  <si>
    <t>Comment 2</t>
  </si>
  <si>
    <t>Divergence</t>
  </si>
  <si>
    <t>Divergence handled by the pair</t>
  </si>
  <si>
    <t>Judge</t>
  </si>
  <si>
    <t>Judge Comments</t>
  </si>
  <si>
    <t>R1 / R3</t>
  </si>
  <si>
    <t>x</t>
  </si>
  <si>
    <t>R2 / R3</t>
  </si>
  <si>
    <t>R1 / R2</t>
  </si>
  <si>
    <t>first</t>
  </si>
  <si>
    <t>second</t>
  </si>
  <si>
    <t>R3</t>
  </si>
  <si>
    <t>recommendation</t>
  </si>
  <si>
    <t>The usage of sprints in the context of devops.</t>
  </si>
  <si>
    <t>Testing, database, git, using linux terminal commands.</t>
  </si>
  <si>
    <t>Vagrant is an infra-as-code tool.</t>
  </si>
  <si>
    <t>Despite having tools, the focus is on concepts.</t>
  </si>
  <si>
    <t>The strategy of using initial examples can be used in other courses.</t>
  </si>
  <si>
    <t>The tools are for illustration only.</t>
  </si>
  <si>
    <t>If the project is too small you can't work concepts in-depth.</t>
  </si>
  <si>
    <t>In these open source applications, the student must collaborate with others and can work on a project that implements CI / CD.</t>
  </si>
  <si>
    <t>The implementation of the ci pipeline will depend on the project.</t>
  </si>
  <si>
    <t>Work collaboration concepts.</t>
  </si>
  <si>
    <t xml:space="preserve">
</t>
  </si>
  <si>
    <t>R1</t>
  </si>
  <si>
    <t>Challenge</t>
  </si>
  <si>
    <t>% Challenge</t>
  </si>
  <si>
    <t>Recommendation</t>
  </si>
  <si>
    <t>% Recommendation</t>
  </si>
  <si>
    <t>D+R</t>
  </si>
  <si>
    <t>% D+R</t>
  </si>
  <si>
    <t>Total</t>
  </si>
  <si>
    <t>diverge</t>
  </si>
  <si>
    <t>kappa D</t>
  </si>
  <si>
    <t>kappa R</t>
  </si>
  <si>
    <t>kappa D+R</t>
  </si>
  <si>
    <t>Unique ID</t>
  </si>
  <si>
    <t>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t>
  </si>
  <si>
    <t>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t>
  </si>
  <si>
    <t>Insufficient knowledge level of students to start the course.</t>
  </si>
  <si>
    <t>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t>
  </si>
  <si>
    <t>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t>
  </si>
  <si>
    <t>Setting up the infrastructure is difficulty.</t>
  </si>
  <si>
    <t xml:space="preserve">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t>
  </si>
  <si>
    <t>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t>
  </si>
  <si>
    <t>Limited computional resources.</t>
  </si>
  <si>
    <t>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</si>
  <si>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t>
  </si>
  <si>
    <t>Cloud providers usage has limits.</t>
  </si>
  <si>
    <t>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t>
  </si>
  <si>
    <t>There is no taxonomy about what are the main DevOps concepts.
There's a lack of reference on operations concepts.
It is difficult to express and formalize DevOps concepts. There is not bulletproof in devops.</t>
  </si>
  <si>
    <t>There is no convention about DevOps concepts.</t>
  </si>
  <si>
    <t>I don't know any specific teaching devops tool.</t>
  </si>
  <si>
    <t>Unknown specific devops educational supportive environment.</t>
  </si>
  <si>
    <t>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t>
  </si>
  <si>
    <t>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t>
  </si>
  <si>
    <t>Insufficient time in the course to teach DevOps.</t>
  </si>
  <si>
    <t xml:space="preserve">[...]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t>
  </si>
  <si>
    <t>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t>
  </si>
  <si>
    <t>Institutions' resources have limits.</t>
  </si>
  <si>
    <t xml:space="preserve">
There wasn't a tool to configure the environment [...] or to automate these environments then [..] since it became manual.</t>
  </si>
  <si>
    <t>There was no automated environment setup tool to support the student.</t>
  </si>
  <si>
    <t>There wasn't a set of [...] scripts that the student should configure this environment himself, install the tool himself [...] whatever the servers he needed.</t>
  </si>
  <si>
    <t>There was no script for the student on how to install the tools used during the course.</t>
  </si>
  <si>
    <t>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</si>
  <si>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t>
  </si>
  <si>
    <t>Insufficient literature related to teach DevOps.</t>
  </si>
  <si>
    <t>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t>
  </si>
  <si>
    <t>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t>
  </si>
  <si>
    <t>Difficulty in making clear to students the importance of having a more realistic perspective of production.</t>
  </si>
  <si>
    <t>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t>
  </si>
  <si>
    <t>Difficulty in teaching the student how to operate the system, allowing the addition of new features without breaking the system.
Difficulty for students to practice the concept of Continuous Delivery when it is necessary to add new features to the system without the build breaking.</t>
  </si>
  <si>
    <t>Difficulty in teaching the student how to operate the system, allowing the addition of new features without breaking the system.</t>
  </si>
  <si>
    <t>How can we see if the student is aware of the concept of continuous delivery, which is one of the concepts we address?</t>
  </si>
  <si>
    <t>Difficulty in assessing students' understanding of Continuous Delivery.</t>
  </si>
  <si>
    <t>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t>
  </si>
  <si>
    <t>The environment adopted by instructors can frighten students by making them migrate to other tools.
Students' initial difficult at having to switch from tools in which their applications were already working to the one adopted by the instructor.</t>
  </si>
  <si>
    <t>The process of making students migrate to other tools it's hard.</t>
  </si>
  <si>
    <t>the docker, [...] to use, they usually have a greater difficulty in this theme, in the beginning.</t>
  </si>
  <si>
    <t>Initial difficulty using the Docker container tool.</t>
  </si>
  <si>
    <t>A challenge that is to convince students to give importance to this... they have this other view, this aspect of the configuration of the environment.</t>
  </si>
  <si>
    <t>The student has difficulty realizing the importance of setting the environment.</t>
  </si>
  <si>
    <t>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t>
  </si>
  <si>
    <t>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t>
  </si>
  <si>
    <t>There is a large number of DevOps tools.</t>
  </si>
  <si>
    <t>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t>
  </si>
  <si>
    <t>Difficulty to teach the DevOps culture.
There is no ready-made recipe to teach the DevOps mindset (culture).
Difficulty breaking through resistance to the DevOps culture and its principles.
Difficulty contextualizing the DevOps culture.
Culture is difficult to teach.</t>
  </si>
  <si>
    <t xml:space="preserve">DevOps culture is hard to teach. </t>
  </si>
  <si>
    <t>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t>
  </si>
  <si>
    <t>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t>
  </si>
  <si>
    <t>It's hard to show to students that DevOps is not all about tooling.</t>
  </si>
  <si>
    <t xml:space="preserve">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t>
  </si>
  <si>
    <t>Difficulties in remote work with students: privacy, availability, infrastructure differences, environment configuration.</t>
  </si>
  <si>
    <t>[...] in many cases the assessment is still based on the traditional test model or on some fixed assessment process, with an X list of questions or something similar.</t>
  </si>
  <si>
    <t>Difficulty dealing with assessments based on a traditional test model.</t>
  </si>
  <si>
    <t>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t>
  </si>
  <si>
    <t>The teaching of devops is multidisciplinary, covering different areas such as development, safety and operation.
There is a very diverse and multidisciplinary knowledge in teaching DevOps.</t>
  </si>
  <si>
    <t>The multidiscuplinary of DevOps is hard to deal with.</t>
  </si>
  <si>
    <t>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t>
  </si>
  <si>
    <t>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t>
  </si>
  <si>
    <t>Teach DevOps concepts to students no industrial experience is hard.</t>
  </si>
  <si>
    <t>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t>
  </si>
  <si>
    <t>The teacher needs good technical knowledge in the areas of security (especially vulnerability management) and systems development to teach DevSecOps.
Skills to teach DevOps are challeging.</t>
  </si>
  <si>
    <t>Skills to teach DevOps are challeging.</t>
  </si>
  <si>
    <t>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t>
  </si>
  <si>
    <t>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t>
  </si>
  <si>
    <t>It's challeging to deal with students having different backgrounds.</t>
  </si>
  <si>
    <t>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t>
  </si>
  <si>
    <t>Students find it difficult to configure the tools on their own machines in remote teaching mode.</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</si>
  <si>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t>
  </si>
  <si>
    <t>Devops concepts like configuration management and contaizerization need examples with mininum scale and complexity.
The students can have difficulty understanding the DevOps culture working on a small example.
Small project wasn't really satisfactory.</t>
  </si>
  <si>
    <t>Small examples weren't really satisfactory.</t>
  </si>
  <si>
    <t>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t>
  </si>
  <si>
    <t>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t>
  </si>
  <si>
    <t>It's challeging to balance DevOps theory and practice.</t>
  </si>
  <si>
    <t>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t>
  </si>
  <si>
    <t>Difficulty in monitoring and keeping in touch with all students effectively during remote learning classes.
It's hard to do hands-on on remote learning because the teacher can't see the students face.
It is very difficult to interact with students in lecture remote teaching.</t>
  </si>
  <si>
    <t>Comunications with students is hard when classes are remote.</t>
  </si>
  <si>
    <t xml:space="preserve">There's still this challenge of understanding these tools, environment, network, configuration, you know? So, I think one challenge brings the other, right? I would say this is a challenge, too.
</t>
  </si>
  <si>
    <t>Difficulty in understanding environment, tools and network configuration.</t>
  </si>
  <si>
    <t>When you go to configure the tools and such, as you were the one who developed the system, it becomes easier, I believe you understand all the automations and such, but at the same time I see that the guys have a lot of difficulty in doing it.</t>
  </si>
  <si>
    <t>There is difficulty for students to carry out the automation of the construction of systems used during the course.</t>
  </si>
  <si>
    <t>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</si>
  <si>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t>
  </si>
  <si>
    <t>It's challeging to find the right sized examples to teach DevOps.</t>
  </si>
  <si>
    <t>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t>
  </si>
  <si>
    <t>Lack of time for teachers to develop a ready-made and well-crafted example system.
Lack of time to structure more complex environments with students.</t>
  </si>
  <si>
    <t>Lack of time to prepare classes to teach DevOps.</t>
  </si>
  <si>
    <t>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t>
  </si>
  <si>
    <t>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t>
  </si>
  <si>
    <t>It's challeging to be up-to-date with industrial DevOps tools.</t>
  </si>
  <si>
    <t xml:space="preserve">[...]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t>
  </si>
  <si>
    <t>Difficulty supporting the use of several different tools and environments at the same time.
Differences in people's environments and their hardware configuration cause problems.
Different types of OSs can difficult the flow of environment setup.</t>
  </si>
  <si>
    <t>It's difficult to deal with different hardware and software.</t>
  </si>
  <si>
    <t>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t>
  </si>
  <si>
    <t>A lot of time preparing the initial environment setup of students.
Lots of work to setup the labs even if you have teacher assistants.
On premises systems for deployment everything is complicated because it requires a lot of maintenance and time.</t>
  </si>
  <si>
    <t>Prepare the labs environment requires a lot of time.</t>
  </si>
  <si>
    <t>Material heterogeneity is the biggest challenge. You have to set up a class sewing the fonts, right?
When I started preparing, there was not a buy the book, a "kit" a suggestion for a course, there for you to start, it is a good start, right?</t>
  </si>
  <si>
    <t>There is no unified material for teaching DevOps.
There is no complete material to teach DevOps.</t>
  </si>
  <si>
    <t>Unknown unified material for teaching DevOps.</t>
  </si>
  <si>
    <t>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t>
  </si>
  <si>
    <t>Difficulty in resuming sufficient and suitable material for class lessons.
It is necessary to use multiple books because they do not cover all concepts.</t>
  </si>
  <si>
    <t>Difficulty in using multiple materials to create the classes.</t>
  </si>
  <si>
    <t>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t>
  </si>
  <si>
    <t>Students rely heavily on the teacher's slide material, which is often limited.
The students don't read the suggested book even if you strongly encourage them.
Students tend to get short free versions and not full versions of books.</t>
  </si>
  <si>
    <t>Students rely on limited material instead of reading books.</t>
  </si>
  <si>
    <t>There are concepts of collaboration, communication, organization that are a little subjective, right? So, it's a little harder for you to evaluate.</t>
  </si>
  <si>
    <t>The DevOps concepts collaboration, communication and organization are difficult to assess due to the high degree of subjectivity.</t>
  </si>
  <si>
    <t>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t>
  </si>
  <si>
    <t>Difficulty in structuring the learning journey.
Difficulty to create a teaching plan, especially connecting the covered subjects.</t>
  </si>
  <si>
    <t>Difficulty in structuring the learning journey.</t>
  </si>
  <si>
    <t>team of monitors [...] If you don't have it, it gets heavier, it's more difficult, you alone evaluate. Take a class with forty students, even if you divide it into teams, it's a lot for you to evaluate.</t>
  </si>
  <si>
    <t>Large class assessment requires great effort.</t>
  </si>
  <si>
    <t>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t>
  </si>
  <si>
    <t>Difficulty in setting up classes without a prior reference ones.
It isn't easy to create a DevOps course without having another course as a reference.
Few universities have a DevOps course.
It's really difficult to find supports if you want to teach DevOps.</t>
  </si>
  <si>
    <t>It is difficult to create a DevOps course without a previous reference ones.</t>
  </si>
  <si>
    <t>This teaching plan is not and should not be completed, right? He doesn't have it, he's never ready. ... Things change too fast, the focus changes too fast.</t>
  </si>
  <si>
    <t>Rapid and constant changes in DevOps make it difficult to create a teaching plan.</t>
  </si>
  <si>
    <t>"DevOps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t>
  </si>
  <si>
    <t>Difficulty in linking DevOps classes with other subjects of interest to students.</t>
  </si>
  <si>
    <t>There are several environments in the cloud, but they all cost money.</t>
  </si>
  <si>
    <t>Environment set up in a cloud service cost money.</t>
  </si>
  <si>
    <t xml:space="preserve">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t>
  </si>
  <si>
    <t>VirtualBox has limitation in MacOS.</t>
  </si>
  <si>
    <t>You have to find a set of tools that work together.
 For many people, getting them all to work together can be particularly challenging.</t>
  </si>
  <si>
    <t>You have to find a set of tools that work together.
For many people, getting all technologies to work together can be particularly challenging.</t>
  </si>
  <si>
    <t>Getting all DevOps tools to work together is challenging.</t>
  </si>
  <si>
    <t xml:space="preserve">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t>
  </si>
  <si>
    <t>It is difficult to students learning agile techniques like pair programming.
A lot of agile concepts are hard to teach in a classroom setting.
It's challenging the students to be and to think agile into mininum viable product.
It is difficult how to organize each sprint.</t>
  </si>
  <si>
    <t>It is difficult to teach agile techniques.</t>
  </si>
  <si>
    <t>Are they following the process? Not, did they get the work done in the end? That's not the important part is did they learn the process and follow it? And did they learn from it? So that's, it's kind of challenging.</t>
  </si>
  <si>
    <t>It is challeging to verify if the students learn the devops process of working.</t>
  </si>
  <si>
    <t>Doing a hands-on class with that many (45) students is just physically challenging.</t>
  </si>
  <si>
    <t>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t>
  </si>
  <si>
    <t>Teach operational activities is ignored because it is hard.</t>
  </si>
  <si>
    <t xml:space="preserve">That is a lot of the devops principles that come into play. </t>
  </si>
  <si>
    <t>Many devops concepts need to be taught.</t>
  </si>
  <si>
    <t>It is very dangerous to teach too many tools because it's simply conveys that it is a very technology centric approach.</t>
  </si>
  <si>
    <t>It is very dangerous to teach too many tools because it conveys that DevOps is a very technology centric approach.</t>
  </si>
  <si>
    <t>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t>
  </si>
  <si>
    <t>Students are not at a level in the their companies where they can introduce DevOps mindset.</t>
  </si>
  <si>
    <t>It can be a little harder garner garnering some of that same thing from, from industry, you know, unless you happen to find reasonably wit reasonably written, uh, white papers or, or things along those lines.</t>
  </si>
  <si>
    <t>It is hard to find strategies from industry unless if it written in a paper.</t>
  </si>
  <si>
    <t>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t>
  </si>
  <si>
    <t>Task done by students do not means that students learned correctly.</t>
  </si>
  <si>
    <t>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t>
  </si>
  <si>
    <t>It is difficult for students to understand the importance the software running in production, not just compiling.</t>
  </si>
  <si>
    <t>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t>
  </si>
  <si>
    <t>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t>
  </si>
  <si>
    <t>DevOps course doesn't look relevant for undergratuate students when you start teaching.</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</si>
  <si>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t>
  </si>
  <si>
    <t>You need a lot of interconnected machines running different services with visibility on each other to do continous deployment.</t>
  </si>
  <si>
    <t>Uh, so that's a practical challenge that when you want to put it in place, and as a teacher, you want to be able to log into all of those machines to see what they're doing.</t>
  </si>
  <si>
    <t>It's hard to supervise students' work when you use a lot of virtual machines.</t>
  </si>
  <si>
    <t>It's hard for them to see all the values, layers of source side, real shoes, deployment side. They have a tendency because the students write code clicky works done, right? And it's hard to teach them that no wanting code somewhere.</t>
  </si>
  <si>
    <t>It's hard for students to see the values of deployment side and they don't want to do operational activities.</t>
  </si>
  <si>
    <t>What is hard is to be prepared with, um, a technology stack that is robust and simple or very simple so that you know exactly what you look when you help them debug.</t>
  </si>
  <si>
    <t>It is hard to prepare a robust and simple technology stack.</t>
  </si>
  <si>
    <t>It's mostly the preparation of the exercise that is demanding.
That's one of the challenge that I find in preparing proper courses, finding and implementing an application, creating some issues in it, some bugs in it.</t>
  </si>
  <si>
    <t>The preparation of the exercise is demanding.
It is laborious to prepare the exercise that the students will work.</t>
  </si>
  <si>
    <t>The preparation of the exercise is demanding.</t>
  </si>
  <si>
    <t>Um, but then the preparation for the class itself was a concept class. That's, I've done that. Um, and then adjust, but it's no more difficult than any other class. It depends what you know, and what you do as a job. Right? And that's part of my job to do it. So I feel comfortable</t>
  </si>
  <si>
    <t>Teach DevOps requires much knowledge from the professor who could not be familiar with it.</t>
  </si>
  <si>
    <t>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t>
  </si>
  <si>
    <t>It is arduous to analyse the code and run scripts for each project.</t>
  </si>
  <si>
    <t>We show them Kubernetes, um, but they don't really have time to practice on Kubernetes.</t>
  </si>
  <si>
    <t>They don't have time to practice on Kubernetes because it is lot of work.</t>
  </si>
  <si>
    <t>And as I said, we, students are doing other things. So this means we are limited in what we can ask them.</t>
  </si>
  <si>
    <t>There is a limitation of what is appropriate to ask the students because they are doing a lot of other activities.</t>
  </si>
  <si>
    <t>For us as educators, we need to find a way where we can make it interesting.
You can make the lectures more interactive, but to make the lecture attractive students have to willing to interact. Right. Which is very difficult to do.</t>
  </si>
  <si>
    <t>Make a DevOps course attractive to the students is challenging.
Make the lectures attractive is difficult.</t>
  </si>
  <si>
    <t>Make a DevOps course attractive to the students is challenging.</t>
  </si>
  <si>
    <t>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t>
  </si>
  <si>
    <t>There is no convention as to what are the main DevOps concepts that should be taught.
It's difficult to decide what will be taught in a DevOps course.
Hard to decide whether to teach telemetry or not.</t>
  </si>
  <si>
    <t>There is no convention as to what are the main DevOps concepts that should be taught.</t>
  </si>
  <si>
    <t>The, the overall context will change the process they use will have to change, to adapt, to become better, to, to stay at the top too, you know, they have to, so they have to recognize first that technologies will change, but the foundation, the fundamentals will remain,</t>
  </si>
  <si>
    <t>It's hard to make clear to students and make them understand the fact that technologies will change with time, but the fundamentals will remain.</t>
  </si>
  <si>
    <t>JIRA is quite difficult to use in industry context, um, just because of the license model then. So it's, it's too complex.</t>
  </si>
  <si>
    <t>It's difficult to use Jira lifecycle management tool because of its licence model.</t>
  </si>
  <si>
    <t>So one of the challenge from an environment point of view is to get something that students can relate to.</t>
  </si>
  <si>
    <t>It's hard to find something students can relate to, from a environment point of view.</t>
  </si>
  <si>
    <t>We hear from our industrial partners and from industry in general is there's this HUGE gap right? Between what the industry needs and what university provides.</t>
  </si>
  <si>
    <t>There is a lack between what the industry wants from students about DevOps and what the university teaches.</t>
  </si>
  <si>
    <t>It didn't work for some specific tools that they wanted to present using this a katacoda, uh, website.</t>
  </si>
  <si>
    <t>Katacoda does not work for some specific tools.</t>
  </si>
  <si>
    <t>Since the students were free to use any technology and present it ...  it was hard to stay as objective as possible and to have, uh, have the same criteria and metric for, uh, scoring different students, because someone was working on this project, someone was working on that project.</t>
  </si>
  <si>
    <t>It was hard to have the same criteria and metric for scoring different students because they were free to use any technology and present it.</t>
  </si>
  <si>
    <t>It was a bit risk because if they had contributed to something that, uh, that the developers didn't merge they wouldn't get, uh, get the score.</t>
  </si>
  <si>
    <t>The students wouldn't get the score if they had contributed to some open source project that the developers didn't merge on github.</t>
  </si>
  <si>
    <t>How this practitioner really works, because if you're not doing this, then you will stay at a very technical level. Like you deploy a pipeline and you're doing DevOps, which is absolutely not the case. And that's absolutely not the, uh, understanding of what DevOps is.</t>
  </si>
  <si>
    <t>It is difficult to students understand how the pipeline deployment works and not just running it.</t>
  </si>
  <si>
    <t xml:space="preserve">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t>
  </si>
  <si>
    <t>Using remote services is really complicated to debug because you don't have the access on the what's happening.
Debugging lab sessions are frustating.</t>
  </si>
  <si>
    <t>Debugging lab sessions are very difficult.</t>
  </si>
  <si>
    <t>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t>
  </si>
  <si>
    <t>Bamboo continuous integration does not work with 120 students running pipeline at the same time.</t>
  </si>
  <si>
    <t>He grade scale was half description, half justification, and that's helped a lot, but it's always, um, qualitative in this way. It's, it's, it's really difficult to be quantitative and to have this, uh, uh, grade scale that is by the, uh, by the point.</t>
  </si>
  <si>
    <t>It is really difficult to quantitative grade scale on the description and the justification of case studies.</t>
  </si>
  <si>
    <t>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t>
  </si>
  <si>
    <t>There is no consensus if DevOps course should be mandatory or optional.</t>
  </si>
  <si>
    <t xml:space="preserve">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t>
  </si>
  <si>
    <t>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t>
  </si>
  <si>
    <t>Use cloud provider services with students plans.</t>
  </si>
  <si>
    <t>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t>
  </si>
  <si>
    <t>Build scenarios that students can run on their own computer.
Give up teaching content that the student cannot run on their machine.
Take advantage of the student's own computational resource and adapt to something that requires less computational demand.</t>
  </si>
  <si>
    <t>Build scenarios that students can run on their own computer.</t>
  </si>
  <si>
    <t>This was somehow harmonized.</t>
  </si>
  <si>
    <t>Define what are the devops concepts.</t>
  </si>
  <si>
    <t>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t>
  </si>
  <si>
    <t>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t>
  </si>
  <si>
    <t>The assess should be with hands-on activity.</t>
  </si>
  <si>
    <t>I think a potential candidate is GNS3.</t>
  </si>
  <si>
    <t>The GNS3 tool is a potential candidate as a tool for teaching DevOps.</t>
  </si>
  <si>
    <t>All the DevOps tooling behind it like [...] the ansible or terraform here, or any of those other flavors of automation and deployment and stuff like that you can use.</t>
  </si>
  <si>
    <t>Ansible as deployment automation tools can be used in teaching DevOps.</t>
  </si>
  <si>
    <t>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t>
  </si>
  <si>
    <t>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t>
  </si>
  <si>
    <t>Teaching method based on practical activities.</t>
  </si>
  <si>
    <t>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t>
  </si>
  <si>
    <t>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t>
  </si>
  <si>
    <t>Focus more on the practical part compared to the theoretical part of DevOps.</t>
  </si>
  <si>
    <t>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t>
  </si>
  <si>
    <t>Divide the workload of subjects that are related to networking and programming.
Seeking balance in teaching development and operation.</t>
  </si>
  <si>
    <t>Divide the workload of subjects that are related to networking and programming.</t>
  </si>
  <si>
    <t>I had to delegate this responsibility to the student.
When you do not have resources in the structure you are linked to, as an institution, you have to delegate that the student really finds his ways.</t>
  </si>
  <si>
    <t>Delegating the responsibility for finding adequate infrastructure for the student when it is not possible to obtain the necessary resources from the institution.
Delegate responsibility to the student.</t>
  </si>
  <si>
    <t>Delegate the responsibility for finding adequate infrastructure for the student.</t>
  </si>
  <si>
    <t>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t>
  </si>
  <si>
    <t>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t>
  </si>
  <si>
    <t>Use a textbook as a basis to guide the course classes.</t>
  </si>
  <si>
    <t>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t>
  </si>
  <si>
    <t>Work on improving students' skills related to non-functional requirements.</t>
  </si>
  <si>
    <t>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t>
  </si>
  <si>
    <t>Use of a learning tool to facilitate understanding of the concept of Continuous Integration.
Using a learning tool helps in DevOps teaching.
Using a learning tool helps in DevOps teaching.
Use tools while explaining the continuous integration concept.</t>
  </si>
  <si>
    <t>Use a learning tool to easy the DevOps teaching.</t>
  </si>
  <si>
    <t xml:space="preserve">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t>
  </si>
  <si>
    <t>DevOps deserves a discipline in the curriculum.
Be concerned with the course's curriculum, maintaining and creating DevOps disciplines.
DevOps deserves a discipline in the curriculum of courses focused on software development.</t>
  </si>
  <si>
    <t>DevOps deserves a discipline in the curriculum.</t>
  </si>
  <si>
    <t>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t>
  </si>
  <si>
    <t>Evaluate level of participation and difficulty of students in teamwork.
Assess students through project and group exercises, more specifically the collaboration of each one within the group.</t>
  </si>
  <si>
    <t>Evaluate level of participation and difficulty of students in teamwork.</t>
  </si>
  <si>
    <t>We can monitor this part of the evaluation a lot due to their activity. So part of it is the cloud system tool that allows us to do this monitoring.</t>
  </si>
  <si>
    <t>Monitoring of students through activities in a learning support environment.</t>
  </si>
  <si>
    <t>Usually, they already arrive with the system, sometimes deployed in another environment, which is quite common for them to use this environment. Then we have to bring them in, asking them to use ours.</t>
  </si>
  <si>
    <t>Ask students to adopt the tools used by instructors.</t>
  </si>
  <si>
    <t>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t>
  </si>
  <si>
    <t>A discipline must have a considerable workload to centralize and harmonize development and operation information.</t>
  </si>
  <si>
    <t xml:space="preserve">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t>
  </si>
  <si>
    <t xml:space="preserve">Socializing knowledge acquired in practical activities is essential for learning.
Teach social coding.
Get the students to be more social in their coding practices and do pair programming </t>
  </si>
  <si>
    <t>Teach social coding.</t>
  </si>
  <si>
    <t>They choose to [...] put this system on the air for a customer to see, right? In this aspect, the client is the teachers themselves who are evaluating.</t>
  </si>
  <si>
    <t>Adopt a more professional approach in which teachers act as clients.</t>
  </si>
  <si>
    <t>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t>
  </si>
  <si>
    <t>The Continuous Integration and industry tools must be in the curricula.</t>
  </si>
  <si>
    <t>But as there isn't, we find different materials; we have several publications.</t>
  </si>
  <si>
    <t>Combine the various materials and publications available to make up for the lack of a unified, complete, and high-level material.</t>
  </si>
  <si>
    <t>[...] With the addition of our Project of Software Development team of professor Sales, he has access, so, more within the tool, he already knows the most diverse aspects. It was already possible for us to solve several difficulties.[...]</t>
  </si>
  <si>
    <t>When using a tool to help teach, you must have a good command of it and the necessary permissions/accompaniment of someone with such permissions to deal well with the possible difficulties during its use in the discipline.</t>
  </si>
  <si>
    <t>The same DevOps discipline now applies at the institution where I teach concerning classes focused on security and vulnerability management and courses focused on application development and construction.</t>
  </si>
  <si>
    <t>You can use the same discipline of DevOps for operation groups focused on safety and development groups.</t>
  </si>
  <si>
    <t>In DevOps [...], the security teams are much more in understanding what it represents from the point of view of vulnerability management and architecture, from the network concerning the cloud.</t>
  </si>
  <si>
    <t>Teach the part of cloud vulnerability, architecture, and network management to the security classes in DevOps.</t>
  </si>
  <si>
    <t>The recommendation is to understand the learning context of the class.
Adapt the menu according to the student profile you have.</t>
  </si>
  <si>
    <t>Identify the most compatible DevOps scope for each class.
Adapt the course according to the profile of students.</t>
  </si>
  <si>
    <t>Identify the most compatible DevOps scope for each class.</t>
  </si>
  <si>
    <t>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t>
  </si>
  <si>
    <t>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t>
  </si>
  <si>
    <t>Teach using examples.</t>
  </si>
  <si>
    <t>Present concepts that are well established in the community, such as axes, [...] in the DevOps process.
I simply want them to be able to set up some kind of a pipeline and understand how it works.</t>
  </si>
  <si>
    <t>Introduce well-established concepts by the DevOps community, such as the DevOps pipeline process.
Teach how to set up a pipeline and explain how it works.</t>
  </si>
  <si>
    <t>Introduce well-established concepts by the DevOps community, such as the DevOps pipeline process.</t>
  </si>
  <si>
    <t>Present [...] cases on how this translates, [...] eliminating the silos between operations and development.</t>
  </si>
  <si>
    <t>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t>
  </si>
  <si>
    <t>Show use cases of DevOps.</t>
  </si>
  <si>
    <t>Always start with culture before moving on to teaching or tool-based demonstration.</t>
  </si>
  <si>
    <t>Start teaching DevOps from the culture. Only then demonstrate with tools.</t>
  </si>
  <si>
    <t>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t>
  </si>
  <si>
    <t>Delimit a specific set of tools to build a scenario in order to demonstrate a concept to be taught.
Standardize the use of tools in a well-defined setting.</t>
  </si>
  <si>
    <t>Delimit a specific set of tools to build a scenario.</t>
  </si>
  <si>
    <t>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t>
  </si>
  <si>
    <t>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t>
  </si>
  <si>
    <t>Use cloud provider services.</t>
  </si>
  <si>
    <t>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t>
  </si>
  <si>
    <t>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t>
  </si>
  <si>
    <t>Promotes discussions about DevOps concepts and related issues.</t>
  </si>
  <si>
    <t>This menu will have some possibilities to create mutations in this menu because the DevOps concept is very open; right, it encompasses different areas between development, security, and operations.</t>
  </si>
  <si>
    <t>Create mutations in the menu due to the breadth of DevOps encompassing the development, operation, and security part.</t>
  </si>
  <si>
    <t>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t>
  </si>
  <si>
    <t>Half of the curriculum with DevOps concepts/culture. Half the curriculum with tools.</t>
  </si>
  <si>
    <t>For a project management class [...], I often had to introduce [...] based on direct analogies or analogies with other scenarios he has already encountered in the product management part to understand what I was speaking.</t>
  </si>
  <si>
    <t>For project management class, it is necessary to introduce DevOps through direct analogies or using scenarios known to them during teaching.</t>
  </si>
  <si>
    <t xml:space="preserve">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t>
  </si>
  <si>
    <t>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t>
  </si>
  <si>
    <t>Teach the DevOps mindset.</t>
  </si>
  <si>
    <t>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t>
  </si>
  <si>
    <t>We seek a communication between students and teachers, where attention is paid to the students' opinions.
Teaching customized based on students background.</t>
  </si>
  <si>
    <t>Customize the teaching based on students background.</t>
  </si>
  <si>
    <t>Nor use VM virtual machines because the virtual machine demands hardware resources. And it's not always that you have availability to upload two virtual machines on the student's device.</t>
  </si>
  <si>
    <t>Avoid using virtual machines because they demand hardware resources, which are not always available on the students' devices.</t>
  </si>
  <si>
    <t>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t>
  </si>
  <si>
    <t>Terraform as a deployment automation tool can be used in teaching devops.
Use Terraform as a provisioning tool (Infrastructure as Code).</t>
  </si>
  <si>
    <t>Terraform as a deployment provisioning tool can be used in teaching devops.</t>
  </si>
  <si>
    <t>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t>
  </si>
  <si>
    <t>Use practical examples regularly for the student to interact.
Interact with the student and break the tone of voice every 20 minutes, inhibiting their loss of attention.
Interact with the student to keep him alert, proposing challenges, for example.</t>
  </si>
  <si>
    <t>Interact with the students.</t>
  </si>
  <si>
    <t>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t>
  </si>
  <si>
    <t>Use examples with students to teach theory. For instance, we are using blocks or Trello to teach Lean.</t>
  </si>
  <si>
    <t>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t>
  </si>
  <si>
    <t>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t>
  </si>
  <si>
    <t>Seek to know in advance the needs and limitations of the class.</t>
  </si>
  <si>
    <t>If it's a mixed class, we send students a document that shows them beforehand, right? What are the prerequisites for him to take the course, software, software versions, how to install, well documented.</t>
  </si>
  <si>
    <t>Share course prerequisites with students in advance.</t>
  </si>
  <si>
    <t>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t>
  </si>
  <si>
    <t>Create student support examples and guidelines, breaks into parts to go through the steps gradually.
Create examples and guidelines to help students develop their solution based on it.
We're building a couple of tutorials so that the ones that have less experience can look at it.</t>
  </si>
  <si>
    <t>Create tutorials to help students.</t>
  </si>
  <si>
    <t>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t>
  </si>
  <si>
    <t>Simulate real problems that the student will likely face in their daily lives.
Try to simulate a real scenario employing someone in the group to insert issues and bugs in students project.</t>
  </si>
  <si>
    <t>Simulate real problems with the students.</t>
  </si>
  <si>
    <t>From a didactic point of view, we leave one or two hours before each day; there is a specific infra team to answer any student's doubts.</t>
  </si>
  <si>
    <t>There is a specific support team to answer students' questions about the related infrastructure part.</t>
  </si>
  <si>
    <t>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t>
  </si>
  <si>
    <t>Avoid messing around with specific problems faced by students, dealing in a personalized way at the right time.</t>
  </si>
  <si>
    <t>A task tracking tool. Then it can be Notion or Trello; I think it's essential.</t>
  </si>
  <si>
    <t>Use a task tracking tool like Trello or Notion.</t>
  </si>
  <si>
    <t>There must always be two tools, the stream that would be the zoom, Google Meet, any device that does that, Webex I don't know, it depends on the company.
Because of the remote learning  [...] I've been teaching my classes on zoom.</t>
  </si>
  <si>
    <t>Use a streaming tool like Zoom, Google Meet, or Webex in remote learning scenario.
Use Zoom in remote learning scenario.</t>
  </si>
  <si>
    <t>Use streaming tool like Zoom in remote learning scenario.</t>
  </si>
  <si>
    <t>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t>
  </si>
  <si>
    <t>The Notion tool allows exporting to Markdown, enabling the versioning of documentation for each day of the course: all executed commands and additional content.</t>
  </si>
  <si>
    <t>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t>
  </si>
  <si>
    <t>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t>
  </si>
  <si>
    <t>Use a code repository tool like Github.</t>
  </si>
  <si>
    <t>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t>
  </si>
  <si>
    <t>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t>
  </si>
  <si>
    <t>Use Jenkins tool.</t>
  </si>
  <si>
    <t>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t>
  </si>
  <si>
    <t>Notion and Trello allow student and teacher interaction in two ways. Gist does not allow it.</t>
  </si>
  <si>
    <t>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t>
  </si>
  <si>
    <t>Limit the zoom FPS rate to 10, avoiding excessive student and instructor resource consumption.</t>
  </si>
  <si>
    <t>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t>
  </si>
  <si>
    <t>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t>
  </si>
  <si>
    <t>Grade students based on their learning journey and mistakes. What's important is how they get there, because every failure is learning opportunity.</t>
  </si>
  <si>
    <t>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t>
  </si>
  <si>
    <t>Evaluate the course, performing an NPS (Net Promoter Score) with students.
Teachers and monitors must not be present at the time of course evaluation by students.
Do not try to get feedback before a student assessment, as the student may feel fearful.</t>
  </si>
  <si>
    <t>Evaluate the course.</t>
  </si>
  <si>
    <t>If possible, record at least one training for an autoscopy at the end. See if you have any language addiction, if there were any process that didn't fit the way you imagined, that would work, because when you're talking and doing, sometimes, there's a detail that it shouldn't.</t>
  </si>
  <si>
    <t>Record a training for the teacher to assess language addiction and whether the class flowed as planned.</t>
  </si>
  <si>
    <t>Mixing, theoretical and practical [...] is essential.</t>
  </si>
  <si>
    <t>It is essential to mix the teaching of the theoretical part and the practical part of DevOps.</t>
  </si>
  <si>
    <t>We need to talk about the theoretical part about Lean, which is the Toyota method, Kaisen is also very important, Agile which is significantly linked to the DevOps process.</t>
  </si>
  <si>
    <t>In the theoretical part of DevOps, Lean, Kaisen, and Agile should be taught.</t>
  </si>
  <si>
    <t>What is practical, from the menu, is to make an end-to-end software, [...] But, end-to-end, and the end, which is monitoring.</t>
  </si>
  <si>
    <t>Make software from start to finish, going through the DevOps steps to the monitoring step.</t>
  </si>
  <si>
    <t>Software build [...] deliver this to a VM, somehow, in the best way you understand, which is possible in your suite [...] You can provide it with Docker.</t>
  </si>
  <si>
    <t>Perform continuous delivery through virtual machines or with Docker.</t>
  </si>
  <si>
    <t>The software [...] a monitoring tool, in the end, for you to look at. [...] Look at a Grafana, for example, with Prometheus, which is free software, like that.</t>
  </si>
  <si>
    <t>Use Grafana and Prometheus as monitoring tools.</t>
  </si>
  <si>
    <t>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t>
  </si>
  <si>
    <t>Use a complete example project from places such as a java discussion forum.</t>
  </si>
  <si>
    <t>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t>
  </si>
  <si>
    <t>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t>
  </si>
  <si>
    <t>Make it very clear, pedagogically, that I think it involves an exemplary sound configuration so that the student can hear you well, always with the camera open, even if the student doesn't open it, because he can't, but let him see you, that he feels this approach as much as possible.</t>
  </si>
  <si>
    <t>Provide a comfortable learning environment for the student, such as remote teaching, which requires adequate audio and video equipment.</t>
  </si>
  <si>
    <t>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t>
  </si>
  <si>
    <t>Show the student that there are several ways and tools to do the task.
Teach in a way that knowledge can be applied in different tools, but not focus on the possible specific problems of each technology.</t>
  </si>
  <si>
    <t>Show the student that there are several ways and tools to do the task.</t>
  </si>
  <si>
    <t>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t>
  </si>
  <si>
    <t>Use a simple example system made by students.
Students build their own systems during the course in order to increase their understanding of automation.</t>
  </si>
  <si>
    <t>The students could build their own system during the course.</t>
  </si>
  <si>
    <t>The point is to try to exercise as many tools as possible to provide everyone [...] with a range of things to apply in your daily life when you see the need.</t>
  </si>
  <si>
    <t>Exercise as many tools as possible.</t>
  </si>
  <si>
    <t>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t>
  </si>
  <si>
    <t>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t>
  </si>
  <si>
    <t>Use various sources of DevOps materials.</t>
  </si>
  <si>
    <t>This part of the system, which I ask them to do to follow the discipline, [...] I'm seriously thinking about the idea of ​​simply giving them a system.
If I make this system, I can pass it on to people in a much simpler way, right? How do they do things and such.</t>
  </si>
  <si>
    <t>Deliver a ready-made sample system for students to use.
Using an example system designed by the teacher will give more confidence in supporting students during the course.</t>
  </si>
  <si>
    <t>Deliver a ready-made sample system for students to use.</t>
  </si>
  <si>
    <t>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t>
  </si>
  <si>
    <t>Provide initial environment setup for students.
Give each group a big virtual machine. And on that machine, run three or four Docker images. One with Artifactory, other with Jenkins.</t>
  </si>
  <si>
    <t>Provide initial environment setup for students.</t>
  </si>
  <si>
    <t>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t>
  </si>
  <si>
    <t>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t>
  </si>
  <si>
    <t>Teach version control with git feature branch workflow.</t>
  </si>
  <si>
    <t>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t>
  </si>
  <si>
    <t>Document the consulted material, facilitating future access.</t>
  </si>
  <si>
    <t>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t>
  </si>
  <si>
    <t>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t>
  </si>
  <si>
    <t>Teach continuous integration and pipeline automation.</t>
  </si>
  <si>
    <t>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t>
  </si>
  <si>
    <t>The difficulties of configuring CI tools like Jenkins are essential to student learning, facilitating a future transition to cloud CI tools.</t>
  </si>
  <si>
    <t>The recommendation would be that it would be to get tools that are minimally relevant, right? And so that you can present the different cost-benefits of each one.
I try to pick a few key ones.</t>
  </si>
  <si>
    <t>Introduce students to minimal relevant tools and their tradeoffs.
Use few key tools.</t>
  </si>
  <si>
    <t>Use few key tools.</t>
  </si>
  <si>
    <t>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t>
  </si>
  <si>
    <t>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t>
  </si>
  <si>
    <t>Do exams with more conceptual questions.</t>
  </si>
  <si>
    <t>DevOps [...] In the specialization course [...] you can break all this content into more extensive disciplines.</t>
  </si>
  <si>
    <t>It is possible to break the teaching of DevOps into various disciplines in a DevOps specialization course.</t>
  </si>
  <si>
    <t xml:space="preserve">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t>
  </si>
  <si>
    <t>The basics of building, testing, deploying, and monitoring should be present in a DevOps course.
Not just focus on the current, but teach the basics of DevOps and older technologies to a better understanding.</t>
  </si>
  <si>
    <t>The basics of building, testing, deploying, and monitoring should be present in a DevOps course.</t>
  </si>
  <si>
    <t>During creation [...] Everything is already prepared, and the groups are always the same [...] it is the same booklet, the same content, the same teaching didactics, so there is no preparation for each class, you know? It was just an initial preparation.</t>
  </si>
  <si>
    <t>Standardize the teaching material for all classes.</t>
  </si>
  <si>
    <t>Training is limited [...] we will have to cut it, right? Focuses on tools, but which tools. So, this was a big challenge, so to think about which themes are essential, which means to teach, within each piece, right?</t>
  </si>
  <si>
    <t>It is necessary to choose which topics and tools are essential as the course time is limited.</t>
  </si>
  <si>
    <t>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t>
  </si>
  <si>
    <t>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t>
  </si>
  <si>
    <t>Use relevant industry tools.</t>
  </si>
  <si>
    <t>Of first showing the history, showing the motivation, showing the problem, and making some hooks with possible solutions that Devops was bringing, suitable?</t>
  </si>
  <si>
    <t>The assembly of classes should follow the following steps to use DevOps: history, motivation, problems that can be solved, and possible solutions with DevOps.</t>
  </si>
  <si>
    <t>So, we ended up choosing Java because it is the greatest strength; ours, that was Java.</t>
  </si>
  <si>
    <t>Use a programming language that the teacher knows.</t>
  </si>
  <si>
    <t>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t>
  </si>
  <si>
    <t>Use the simplest tools chosen by the market as a method of selecting the tools that will be adopted during the course.
Use the tools like Docker and Artifactory in simplest way.</t>
  </si>
  <si>
    <t>Use the DevOps tools in simplest way.</t>
  </si>
  <si>
    <t>We don't evaluate, [...] but we keep observing, right, the students, and such throughout the training.</t>
  </si>
  <si>
    <t>Monitor student progress throughout training by conducting a traditional assessment.</t>
  </si>
  <si>
    <t>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t>
  </si>
  <si>
    <t>Contextualize the historical aspects and definition of continuous integration, continuous delivery, continuous deployment, and automation concepts.</t>
  </si>
  <si>
    <t xml:space="preserve">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t>
  </si>
  <si>
    <t>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t>
  </si>
  <si>
    <t>Use Agile approaches in DevOps classes.</t>
  </si>
  <si>
    <t>To get Everything ready to avoid problems and lose the focus and essence of the group.</t>
  </si>
  <si>
    <t>Start a class with a pre-organized structure.</t>
  </si>
  <si>
    <t>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t>
  </si>
  <si>
    <t>Relate devops to site reliability engineering (sre) for students.
Show the historical importance of DevOps and SRE concepts from the main players in the industry.</t>
  </si>
  <si>
    <t>Relate devops to site reliability engineering (sre) for students.</t>
  </si>
  <si>
    <t>To bring the concept applied, then use a CDL approach, or PBL, that helps a lot, because then you have to present the problem and then show the idea behind the resolution of that problem.</t>
  </si>
  <si>
    <t>Make use of the Comprehensive Distance Learning (CDL) teaching methodology.</t>
  </si>
  <si>
    <t>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t>
  </si>
  <si>
    <t>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t>
  </si>
  <si>
    <t>It takes practice to understand DevOps concepts.</t>
  </si>
  <si>
    <t>I usually study the subject to understand and then see the best way to explain that subject.</t>
  </si>
  <si>
    <t>Study the subject thoroughly before preparing for classes.</t>
  </si>
  <si>
    <t>You propose the dynamics and have these things move the group because otherwise, it gets so dull.</t>
  </si>
  <si>
    <t>Use dynamics to inspire the class.</t>
  </si>
  <si>
    <t>I try to bring this up: Mesos, Marathon, then Swarm, even to exercise the concepts is more accessible, lighter than Kubernetes, and then after Kubernetes, Rancher, for example.</t>
  </si>
  <si>
    <t>Initially, adopt more straightforward tools such as Mesos, Marathon, and Docker Swarm before using the Kubernetes tool.</t>
  </si>
  <si>
    <t>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t>
  </si>
  <si>
    <t>If possible, have a team of monitors to assist in the assessment process.
Teacher assistants check if students contributions pass all the roles of the course.
Teacher assistants grade the projects and the professors grade the exams with cross validating.</t>
  </si>
  <si>
    <t>Teacher assistants help in the assessment process.</t>
  </si>
  <si>
    <t>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t>
  </si>
  <si>
    <t>Instigate students' critical thinking and encourage the self-taught search for extra-class information.
Promote and evaluate students' independent decision-making in the learning process.</t>
  </si>
  <si>
    <t>Promote students' independent decision-making in the learning process.</t>
  </si>
  <si>
    <t>I already have mine that has my discipline ready, right? So the challenge, for those who will start one, is less.
I already have mine that has my discipline ready, right? So the challenge, for those who will start one, is less.</t>
  </si>
  <si>
    <t>You can use the discipline that the interviewee professor Vinicius elaborated as a reference for the elaboration of other DevOps disciplines.
Use other DevOps courses as a reference.</t>
  </si>
  <si>
    <t xml:space="preserve">Use other DevOps courses as a reference.
</t>
  </si>
  <si>
    <t>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t>
  </si>
  <si>
    <t>Make use of Problem-Based Learning (PBL).
Problem-Based Learning (PBL) is great for teaching DevOps.
Use problem solving questions in DevOps assessment. It pushs student to critically think.
Use problem-based approach on the projects of the students.</t>
  </si>
  <si>
    <t>Problem-Based Learning (PBL) is great for teaching DevOps.</t>
  </si>
  <si>
    <t>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t>
  </si>
  <si>
    <t>Merge good practices of Problem-Based Learning (PBL), inverted class and Agile, through classroom experimentation.</t>
  </si>
  <si>
    <t>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t>
  </si>
  <si>
    <t>Organize the students into teams of five.
Students like to work on team projects.
Students organized by groups.
Put students to work by a team of four to six per group.</t>
  </si>
  <si>
    <t>Organize the students into teams.</t>
  </si>
  <si>
    <t>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t>
  </si>
  <si>
    <t>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t>
  </si>
  <si>
    <t>Do agile planning with sprints.</t>
  </si>
  <si>
    <t>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t>
  </si>
  <si>
    <t>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t>
  </si>
  <si>
    <t xml:space="preserve">Teach just enough of DevOps tools to get the students going so they can learn in the right context. </t>
  </si>
  <si>
    <t>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t>
  </si>
  <si>
    <t>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t>
  </si>
  <si>
    <t>Provide fast feedback to the students.</t>
  </si>
  <si>
    <t>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t>
  </si>
  <si>
    <t>Don't give the solution right away, let them reach it first for themselves.
Teach DevOps giving the content gradually, like first teach compilation and testing, then continuous integration; do not give everything right away so easily.</t>
  </si>
  <si>
    <t>Don't give the solution right away.</t>
  </si>
  <si>
    <t>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t>
  </si>
  <si>
    <t>Write some tests cases manually, do pull requests, do test automation with CI, write all test cases, teach code coverage. Then finally setup CD pipeline to deploy the application in the cloud.</t>
  </si>
  <si>
    <t>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t>
  </si>
  <si>
    <t>Make the group motivation a responsibility of themselves, students should motivate each other.
Teaching how to students mentor each other is one of the most important things and must be a priority.</t>
  </si>
  <si>
    <t>Make the group motivation a responsibility of themselves.</t>
  </si>
  <si>
    <t>Do they understand what the cloud is? It'd be great if there was a cloud course before mine, but there isn't.
It's an option that we give them the year before too preparing them.</t>
  </si>
  <si>
    <t>It'd be great if there was a Cloud course before DevOps course.
Prepare students with previous courses.</t>
  </si>
  <si>
    <t>Prepare students with previous courses that teach related DevOps concepts.</t>
  </si>
  <si>
    <t>so I don't care if you using windows or using Mac or whatever you're using. We're all going to learn a bunch of Linux and we're going to deploy all our stuff, using a bunch of it and use all the tools in a bunch of.</t>
  </si>
  <si>
    <t>Use Linux operational system.</t>
  </si>
  <si>
    <t>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t>
  </si>
  <si>
    <t>Vagrant and VirtualBox are useful to create consistent development environment.
I selected Vagrant and virtualbox because they're free.
Make environment setup consistent between students using Vagrant.</t>
  </si>
  <si>
    <t>Vagrant and VirtualBox tools are free and useful to create consistent development environment between students.</t>
  </si>
  <si>
    <t>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</si>
  <si>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I selected docker docker because it is free.
Docker can be chosen as DevOps tool.
Use tools like Docker to have more control on support the deployment.
Use Docker as container deployment tool adopted by the course.</t>
  </si>
  <si>
    <t>Docker can be chosen as DevOps tool.</t>
  </si>
  <si>
    <t>We use selenium to, to work on the, uh, on the UI, as a browser.
We use Selenium for test automation.</t>
  </si>
  <si>
    <t>Use Selenium to automate UI tests.
Use Selenium for test automation.</t>
  </si>
  <si>
    <t>Use Selenium for UI test automation.</t>
  </si>
  <si>
    <t>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</si>
  <si>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t>
  </si>
  <si>
    <t>Do not force the technology stack used by students in their systems.</t>
  </si>
  <si>
    <t xml:space="preserve">   People use an Argo CD to do continuous delivery. They used to be using Jenkins. So do you still teach Jenkins? Do you teach them Argo? Um, so it's a constant, um, improvement on the tools are what tools are popular, what tools are going to get them a job in the industry, right? </t>
  </si>
  <si>
    <t>Argo CD is a more current continuous delivery tool than Jenkins.</t>
  </si>
  <si>
    <t>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</si>
  <si>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t>
  </si>
  <si>
    <t>Teach Kanban board.</t>
  </si>
  <si>
    <t>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t>
  </si>
  <si>
    <t>Check if the the labs work well always before start the class.
Verify if labs exercises are working before classes.
Update your exercises often to get everything set up.
Update your exercises frequently.</t>
  </si>
  <si>
    <t xml:space="preserve">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t>
  </si>
  <si>
    <t>Teacher assistence help students over slack managing questions.
Use Google Docs during the lectures so students could add their questions. Teacher Assistants could answer the questions in the doc.</t>
  </si>
  <si>
    <t>Teacher assistence help students over managing questions.</t>
  </si>
  <si>
    <t>Then I give them two exams. So the team is 40% of their grade. The exams are 60% a midterm that's 30 and a, and a final that's 30.</t>
  </si>
  <si>
    <t>So the team is 40% of their grade. The exams are 60% a midterm that's 30 and a, and a final that's 30.</t>
  </si>
  <si>
    <t>I try to get the student more engaged.... If they're not having fun, then we're, we're doing it wrong. So, so I'm making sure they're having fun.</t>
  </si>
  <si>
    <t>Try to get the student having fun in order to keep them engaged.</t>
  </si>
  <si>
    <t>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t>
  </si>
  <si>
    <t>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t>
  </si>
  <si>
    <t>Use quiz with multiple choices to assess the students.</t>
  </si>
  <si>
    <t>the exams are open book, right? I, I, when I'm in the classroom, they're not open book, but for, for the remote learning, they have to be open book. I just can't enforce it.</t>
  </si>
  <si>
    <t>Exams in remote class format are with the open book.</t>
  </si>
  <si>
    <t>we had cloud computing, where can easily stand up virtual machines for people and things like that.</t>
  </si>
  <si>
    <t>Cloud computing make easier to stand up virtual machines.</t>
  </si>
  <si>
    <t>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</si>
  <si>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t>
  </si>
  <si>
    <t>Continuous improvement is a key DevOps concept.</t>
  </si>
  <si>
    <t xml:space="preserve">I'm starting to do is to just build out images, for example, that contain everything that I want them to have. Uh, and that way I can tell them to spin up a virtual machine. </t>
  </si>
  <si>
    <t>Use imagens that contain everything that the teacher wants to teach to clone virtual machines.</t>
  </si>
  <si>
    <t>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t>
  </si>
  <si>
    <t>Use Github for academic use where you can set up GitHub classrooms.</t>
  </si>
  <si>
    <t>I will pick one, usually one, although I'll usually compare and contrast against a couple of others, something in the around of automated builds.</t>
  </si>
  <si>
    <t>Compare and contrast the tools before to choice.</t>
  </si>
  <si>
    <t>I try to use cloud providers, you know, kind of cloud SAS providers for that sort of thing, because I don't want people to spend a lot of time getting the stuff stood up.</t>
  </si>
  <si>
    <t>Use cloud SAS providers to avoid spending a lot of time installations and configurations.</t>
  </si>
  <si>
    <t>I tend to focus on gradle, but I also will link that to say a comparison against Maven and ant to provide some context for how we got here, why we got here</t>
  </si>
  <si>
    <t>Show the evolution of the tools like exposing from ant and maven to gradle tool in build managment.</t>
  </si>
  <si>
    <t>I'm having conversations with the university about trying to take the devops course and essentially converting it to a three course sequence one for agile, one for kind of the dev part of devops and one for the ops part of devops.</t>
  </si>
  <si>
    <t>separate the dev and ops part into different courses.</t>
  </si>
  <si>
    <t>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t>
  </si>
  <si>
    <t>Teach students to know how to sell DevOps benefits to their directors who are from the business area. For example, pipeline reduce developers work time and save money. You can also build a new feature or add a new product that the business has.</t>
  </si>
  <si>
    <t>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t>
  </si>
  <si>
    <t>The basic skeleton of the class does not change significantly because we focus on concepts and we focus on goals.</t>
  </si>
  <si>
    <t>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t>
  </si>
  <si>
    <t>Specify what projects the students will work and provide one or two small projects.
Use small projects with students.
Use a simple application to walk through all DevOps concepts.</t>
  </si>
  <si>
    <t>Research small projects for the students.</t>
  </si>
  <si>
    <t>I will try to provide, uh, some kind of, of jump-starting as far as people learning at technology. So for example, here's commonly used commands. Here's why you use them. Here's how you use them.</t>
  </si>
  <si>
    <t>Provide jump-starting examples of commonly used commands of tools.</t>
  </si>
  <si>
    <t>So being a little bit more forgiving, a lot of the tools that we're using are brand new. For many people, getting them all to work together can be particularly challenging. And so making it a little less stressful, uh, can be helpful.</t>
  </si>
  <si>
    <t>Be a little bit more forgivable, understanding that for some people getting all the brand new technologies to work together can be really hard, so make it less stressful</t>
  </si>
  <si>
    <t>Our particular curriculum tends to allow out of, some degree of necessity and amount of interest based learning. You know, I care about software architecture. And so that's where I want to focus.</t>
  </si>
  <si>
    <t>Our curriculum allows some degree of freedom according to the teacher's preferences.</t>
  </si>
  <si>
    <t>We let the students build only one project, one code base, which is evaluated both on the standpoint of the architecture. ... but also from the angle of continuous integration, do they include build plan?</t>
  </si>
  <si>
    <t>Evaluate the single project of the students on the standpoint of the architecture and also from the angle of continuous integration.</t>
  </si>
  <si>
    <t>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t>
  </si>
  <si>
    <t>Built a curriculum with DevOps and Software Architecture classes together, a single project, a single teaching team, but we evaluate on two angles.
The courses of software architecture and DevOps taught in the same day.</t>
  </si>
  <si>
    <t>The courses of software architecture and DevOps taught together.</t>
  </si>
  <si>
    <t>And then another team uses in a 13 deploys to environment that the first team cannot get to because it's a production environment that the coder will not get access to it. So in real life, you have different teams of people that talk only through some channels.</t>
  </si>
  <si>
    <t>Show the operational constraints to students like coder will not get access to production environment.</t>
  </si>
  <si>
    <t>And then as we go into more concept, like what is Jenkins and what is Artifactory and what is Docker, then we can go back on those things.</t>
  </si>
  <si>
    <t>Study the tools more when you go into the concepts. For example, deep Docker when you teach containers.</t>
  </si>
  <si>
    <t>what helps is to build something that is portable and something that can be broken down into several pieces where one student runs one bit and then another students runs the rest. It's also good because it forces them to work as a group.</t>
  </si>
  <si>
    <t>Build something that is portable and something that can be broken down into several pieces where one student runs one bit and then another students runs the rest.</t>
  </si>
  <si>
    <t>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t>
  </si>
  <si>
    <t>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t>
  </si>
  <si>
    <t>Force students to use technology stack used on course.</t>
  </si>
  <si>
    <t xml:space="preserve">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t>
  </si>
  <si>
    <t>Build whiteboard free sessions inspired by what students have failed and the two hours exercise.</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</si>
  <si>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t>
  </si>
  <si>
    <t>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t>
  </si>
  <si>
    <t>Make students prepare a presentation about topics related to DevOps.</t>
  </si>
  <si>
    <t xml:space="preserve">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t>
  </si>
  <si>
    <t>Use MVP (Minimum viable product) evaluation to validate components of the project. Make an evaluation in the middle and the final course.</t>
  </si>
  <si>
    <t>we also have a lot of evaluation during the exercise. When group after group, where we, we give them flags if week green, yellow, or red, based on where we think they are, uh, regarding the objectives.</t>
  </si>
  <si>
    <t>Do many evaluations of students project along with the discipline. Use green, yellow or red flags to evaluate the group.</t>
  </si>
  <si>
    <t xml:space="preserve">we cannot make assumption on what they know. So we're trying to work without any assumption.
</t>
  </si>
  <si>
    <t>Do not make assumption about the learning level of the students when you have students with different levels.</t>
  </si>
  <si>
    <t>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</si>
  <si>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Kubernetes can be chosen as DevOps tool.
Use tools like Kubernetes to have more control on support the deployment.
Uses Kubernetes as container deployment tool adopted by the course.</t>
  </si>
  <si>
    <t>Kubernetes can be chosen as DevOps tool.</t>
  </si>
  <si>
    <t>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t>
  </si>
  <si>
    <t>Start with a generic perspective of DevOps, basic concepts, and after a few weeks start to focus on specialized issues.</t>
  </si>
  <si>
    <t>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t>
  </si>
  <si>
    <t>Introduce a concept and do labs with creating DevOps pipeline, setup A/B tests, and automated tests.</t>
  </si>
  <si>
    <t>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t>
  </si>
  <si>
    <t>Students start setting up their own DevOps environment and provide additional feature using simple application in the project.
Let students setup their environment for themselves.
Give students an application that they have to build the pipeline to support it.</t>
  </si>
  <si>
    <t>Students setting up their own DevOps environment.</t>
  </si>
  <si>
    <t xml:space="preserve">Also making the project interesting is important because it, you can, it's very easy when you are teaching to just take a very small project, which is not very, uh, challenging in all with students.
</t>
  </si>
  <si>
    <t>The project of the class should not be very small and must be challenging.</t>
  </si>
  <si>
    <t>for exam can be to use an open source application that we can use</t>
  </si>
  <si>
    <t>For exam can be to use an open source application that we can use.</t>
  </si>
  <si>
    <t>we use also SonarQube to help us on the automation</t>
  </si>
  <si>
    <t>Use SonarQube to help on the automation.</t>
  </si>
  <si>
    <t>for performance testing we use JMeter</t>
  </si>
  <si>
    <t>Use JMeter for performance testing.</t>
  </si>
  <si>
    <t>we also security platform like, uh, Zap</t>
  </si>
  <si>
    <t>Use OWASP Zap as security platform.</t>
  </si>
  <si>
    <t>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t>
  </si>
  <si>
    <t>There are many free DevOps tools available.</t>
  </si>
  <si>
    <t>Quite often, what we do is have someone in our team to implement the application.</t>
  </si>
  <si>
    <t>Someone from teacher staff implements the sample application.</t>
  </si>
  <si>
    <t>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t>
  </si>
  <si>
    <t>Divide the course into 80% of concepts and 20% of applications.
Conciliate the experience in labs and the context of lectures.</t>
  </si>
  <si>
    <t>Divide the course into 80% of concepts and 20% of applications.</t>
  </si>
  <si>
    <t>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t>
  </si>
  <si>
    <t>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t>
  </si>
  <si>
    <t>I had a different assistant for the labs who was the next student. So the first time, and the labs were quite well received.
If you have lab assistants that are, you know, good, it's pretty easy to manage.</t>
  </si>
  <si>
    <t>Qualified teacher assistant is important to setup the labs.
It is good to have teacher assistants with labs.</t>
  </si>
  <si>
    <t>Teacher assistants are helpful with labs.</t>
  </si>
  <si>
    <t>the unicorn [project book] who was just, just published last year is more about the Dev stuff, but it really brings it into the mindset of, of, okay, what are the issues concretely that we face.</t>
  </si>
  <si>
    <t>The Unicorn project book is a novel which covers the Dev side issues of DevOps.</t>
  </si>
  <si>
    <t>The Phoenix project ...  it's written also by essentially Jean Kim ... , it's written as a novel ... you get into the, the life of people that are facing issues that's are essentially DevOps issues ... he Phoenix project is more about the Ops side of things.</t>
  </si>
  <si>
    <t>The Phoenix book by Jean Kim is a novel that covers the Ops side of DevOps.</t>
  </si>
  <si>
    <t>I need very solid, uh, research. It's a sorry, a lab assistance. The people responsible for the labs of course, assistants that that can actually deal with the students. So I'm lucky to have students and have good industrial experience, uh, to do that.</t>
  </si>
  <si>
    <t>The teacher assistants need to be very qualified.</t>
  </si>
  <si>
    <t>So I chose, um, tuleap, which is an open source that was missing in mainly DevOps in France.</t>
  </si>
  <si>
    <t>Use Tuleap for lifecycle management.</t>
  </si>
  <si>
    <t>We try to make it minimal</t>
  </si>
  <si>
    <t>Try to make the environment setup minimal.</t>
  </si>
  <si>
    <t>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t>
  </si>
  <si>
    <t>You do not need to worry about university infrastruture when the students have Github and AWS accounts and you make the environment as industrial as lightweight as possible in all of the students laptops.</t>
  </si>
  <si>
    <t>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t>
  </si>
  <si>
    <t>Define clearly the objectives of your course and make sure you stick to it.
Constantly remember the students about the objective of the course.
Make sure the students know the rules of the course. For example how many points they get for what they do.</t>
  </si>
  <si>
    <t>Explain the course objectives to the students.</t>
  </si>
  <si>
    <t>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t>
  </si>
  <si>
    <t>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t>
  </si>
  <si>
    <t>Use case studies in the exams.</t>
  </si>
  <si>
    <t>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</si>
  <si>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Be able to capture your DevOps process in terms of modeling as a flow of activities using value stream mapping technique.</t>
  </si>
  <si>
    <t>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t>
  </si>
  <si>
    <t>constantly try to figure out how to improve the quality of the course</t>
  </si>
  <si>
    <t>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t>
  </si>
  <si>
    <t>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t>
  </si>
  <si>
    <t>Select industrial speakers carefully to share their experience with the students.</t>
  </si>
  <si>
    <t>So that, I think it's one of our job to, to, to communicate with the student that it's not about the buzzword, this is something extremely serious.</t>
  </si>
  <si>
    <t>It's important to communicate with students that DevOps is not buzzword, it is extremely serious.</t>
  </si>
  <si>
    <t>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t>
  </si>
  <si>
    <t>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t>
  </si>
  <si>
    <t>Do some research about DevOps topic, write an essay, and if the tool is open source, contribute to that tool and fix some issues and report it to the teachers. The open source project should have more than a hundred stars on Github.</t>
  </si>
  <si>
    <t>So, uh, we didn't have some predefined, uh, projects, and as we can, yes, this was a bigger problem for us.</t>
  </si>
  <si>
    <t>Predefined project is important for the organization of the course.</t>
  </si>
  <si>
    <t>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t>
  </si>
  <si>
    <t>Use the Katacoda website to students create tutorials about tools.
Change the requirements and the tools to solve the issues in environment setup on Katacoda.
The students write a tutorial about a DevOps tool on katacoda to describe the course automation.</t>
  </si>
  <si>
    <t>Use the Katacoda website to students create tutorials about tools. Change the requirements and the tools to solve the issues on Katacoda.</t>
  </si>
  <si>
    <t xml:space="preserve">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t>
  </si>
  <si>
    <t>Make students engage with people from other teams in the classes.
Engage in a conversation with teacher assistants and other students to make sure everything's more work well.</t>
  </si>
  <si>
    <t>Make students engage with people from other teams in the classes.</t>
  </si>
  <si>
    <t>if it was up to me, I would put some time to laying the background. And I'm talking about basics of DevOps and basics of some tools that are mainly used by everyone.</t>
  </si>
  <si>
    <t>Teacher assistants help students with basics of DevOps concepts and tools.</t>
  </si>
  <si>
    <t>I think the time that we had was actually enough, it was, I think about two months ... Students had, uh, four hours in each week and they had to work on the projects, um, as well.  ...  they had some information, some background about software engineering.</t>
  </si>
  <si>
    <t>Two months with four hours in each week is enough to students with some background about software engineering.</t>
  </si>
  <si>
    <t>So I had to find one that was dying and, uh, hopefully the colleague who was handling his dying course forgot to answer to an email.</t>
  </si>
  <si>
    <t>Look for a dying course to include a DevOps one in the curriculum.</t>
  </si>
  <si>
    <t>So it's constantly discussing and constantly sharing in an open way, uh, what's happening, how it's teach, uh, how it's story telling and how, how things are going.</t>
  </si>
  <si>
    <t>Constantly discuss and share the DevOps teaching in an open way.</t>
  </si>
  <si>
    <t>So this guy was really half time IBM and half time in the faculty of engineering.</t>
  </si>
  <si>
    <t>Teachers could be half time industrial and half time faculty.</t>
  </si>
  <si>
    <t>we use the bluemix, uh, platform from, uh, IBM, that was really, everything was integrated and those kinds of things that was really good in a way,</t>
  </si>
  <si>
    <t>DevOps tools are well integrated in Bluemix platform from IBM.</t>
  </si>
  <si>
    <t>And it was selected by 80% of the cohort, which usually an elective course is like 20%. So is it like we had a lot of students inside these insights because they all wanted to learn about devops.</t>
  </si>
  <si>
    <t>DevOps course as elective course have students that wanted to learn about DevOps.</t>
  </si>
  <si>
    <t>what we've done was first to, um, continuously evaluate the teams are they were working on the project.</t>
  </si>
  <si>
    <t>Make a continuous evaluation of the projects of the students.</t>
  </si>
</sst>
</file>

<file path=xl/styles.xml><?xml version="1.0" encoding="utf-8"?>
<styleSheet xmlns="http://schemas.openxmlformats.org/spreadsheetml/2006/main" xmlns:x14ac="http://schemas.microsoft.com/office/spreadsheetml/2009/9/ac" xmlns:mc="http://schemas.openxmlformats.org/markup-compatibility/2006">
  <fonts count="21">
    <font>
      <sz val="10.0"/>
      <color rgb="FF000000"/>
      <name val="Arial"/>
    </font>
    <font>
      <b/>
      <sz val="14.0"/>
      <color theme="1"/>
      <name val="Arial"/>
    </font>
    <font>
      <b/>
      <sz val="12.0"/>
      <color theme="1"/>
      <name val="Arial"/>
    </font>
    <font>
      <sz val="14.0"/>
      <color theme="1"/>
      <name val="Arial"/>
    </font>
    <font>
      <sz val="14.0"/>
      <color rgb="FF000000"/>
      <name val="&quot;Arial&quot;"/>
    </font>
    <font>
      <b/>
      <sz val="14.0"/>
      <color rgb="FFFF0000"/>
      <name val="Arial"/>
    </font>
    <font>
      <sz val="14.0"/>
    </font>
    <font>
      <sz val="14.0"/>
      <color rgb="FF000000"/>
      <name val="Arial"/>
    </font>
    <font>
      <b/>
      <sz val="14.0"/>
      <color rgb="FF000000"/>
      <name val="Arial"/>
    </font>
    <font>
      <sz val="14.0"/>
      <name val="Arial"/>
    </font>
    <font>
      <b/>
      <sz val="36.0"/>
      <color theme="1"/>
      <name val="Arial"/>
    </font>
    <font>
      <b/>
      <sz val="24.0"/>
      <color theme="1"/>
      <name val="Arial"/>
    </font>
    <font>
      <sz val="12.0"/>
      <color theme="1"/>
      <name val="Arial"/>
    </font>
    <font>
      <b/>
      <sz val="18.0"/>
      <color theme="1"/>
      <name val="Arial"/>
    </font>
    <font>
      <sz val="36.0"/>
      <color theme="1"/>
      <name val="Arial"/>
    </font>
    <font>
      <b/>
      <sz val="10.0"/>
      <color theme="1"/>
      <name val="Arial"/>
    </font>
    <font>
      <sz val="10.0"/>
      <color theme="1"/>
      <name val="Arial"/>
    </font>
    <font>
      <i/>
      <sz val="10.0"/>
      <color theme="1"/>
      <name val="Arial"/>
    </font>
    <font>
      <sz val="14.0"/>
      <color theme="1"/>
      <name val="Roboto"/>
    </font>
    <font>
      <color theme="1"/>
      <name val="Arial"/>
    </font>
    <font>
      <sz val="11.0"/>
      <color theme="1"/>
      <name val="Arial"/>
    </font>
  </fonts>
  <fills count="8">
    <fill>
      <patternFill patternType="none"/>
    </fill>
    <fill>
      <patternFill patternType="lightGray"/>
    </fill>
    <fill>
      <patternFill patternType="solid">
        <fgColor rgb="FFD9D9D9"/>
        <bgColor rgb="FFD9D9D9"/>
      </patternFill>
    </fill>
    <fill>
      <patternFill patternType="solid">
        <fgColor rgb="FFFFF2CC"/>
        <bgColor rgb="FFFFF2CC"/>
      </patternFill>
    </fill>
    <fill>
      <patternFill patternType="solid">
        <fgColor rgb="FFFCE5CD"/>
        <bgColor rgb="FFFCE5CD"/>
      </patternFill>
    </fill>
    <fill>
      <patternFill patternType="solid">
        <fgColor rgb="FF00FF00"/>
        <bgColor rgb="FF00FF00"/>
      </patternFill>
    </fill>
    <fill>
      <patternFill patternType="solid">
        <fgColor rgb="FFFFFFFF"/>
        <bgColor rgb="FFFFFFFF"/>
      </patternFill>
    </fill>
    <fill>
      <patternFill patternType="solid">
        <fgColor rgb="FFCCCCCC"/>
        <bgColor rgb="FFCCCCCC"/>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4">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2" numFmtId="0" xfId="0" applyAlignment="1" applyFont="1">
      <alignment horizontal="center" shrinkToFit="0" wrapText="1"/>
    </xf>
    <xf borderId="0" fillId="2" fontId="1" numFmtId="0" xfId="0" applyAlignment="1" applyFont="1">
      <alignment horizontal="center" shrinkToFit="0" wrapText="1"/>
    </xf>
    <xf borderId="0" fillId="3" fontId="1" numFmtId="0" xfId="0" applyAlignment="1" applyFill="1" applyFont="1">
      <alignment horizontal="center" readingOrder="0" shrinkToFit="0" vertical="center" wrapText="1"/>
    </xf>
    <xf borderId="0" fillId="0" fontId="3" numFmtId="0" xfId="0" applyAlignment="1" applyFont="1">
      <alignment horizontal="center" shrinkToFit="0" vertical="center" wrapText="1"/>
    </xf>
    <xf borderId="0" fillId="0" fontId="3" numFmtId="0" xfId="0" applyAlignment="1" applyFont="1">
      <alignment horizontal="center" readingOrder="0" shrinkToFit="0" vertical="center" wrapText="1"/>
    </xf>
    <xf borderId="0" fillId="3" fontId="3" numFmtId="0" xfId="0" applyAlignment="1" applyFont="1">
      <alignment horizontal="center" readingOrder="0" shrinkToFit="0" vertical="center" wrapText="1"/>
    </xf>
    <xf borderId="0" fillId="3" fontId="4" numFmtId="0" xfId="0" applyAlignment="1" applyFont="1">
      <alignment horizontal="center" readingOrder="0" shrinkToFit="0" vertical="center" wrapText="1"/>
    </xf>
    <xf borderId="0" fillId="3" fontId="5" numFmtId="0" xfId="0" applyAlignment="1" applyFont="1">
      <alignment horizontal="center" readingOrder="0" shrinkToFit="0" vertical="center" wrapText="1"/>
    </xf>
    <xf borderId="0" fillId="0" fontId="3" numFmtId="49" xfId="0" applyAlignment="1" applyFont="1" applyNumberFormat="1">
      <alignment horizontal="center" shrinkToFit="0" vertical="center" wrapText="1"/>
    </xf>
    <xf borderId="0" fillId="0" fontId="3" numFmtId="0" xfId="0" applyAlignment="1" applyFont="1">
      <alignment horizontal="center" shrinkToFit="0" wrapText="1"/>
    </xf>
    <xf borderId="0" fillId="3" fontId="6" numFmtId="0" xfId="0" applyAlignment="1" applyFont="1">
      <alignment horizontal="center" readingOrder="0" shrinkToFit="0" vertical="center" wrapText="1"/>
    </xf>
    <xf borderId="0" fillId="2" fontId="1" numFmtId="0" xfId="0" applyAlignment="1" applyFont="1">
      <alignment horizontal="center" shrinkToFit="0" vertical="center" wrapText="1"/>
    </xf>
    <xf borderId="0" fillId="4" fontId="1" numFmtId="0" xfId="0" applyAlignment="1" applyFill="1" applyFont="1">
      <alignment horizontal="center" readingOrder="0" shrinkToFit="0" vertical="center" wrapText="1"/>
    </xf>
    <xf borderId="0" fillId="4" fontId="3" numFmtId="0" xfId="0" applyAlignment="1" applyFont="1">
      <alignment horizontal="center" readingOrder="0" shrinkToFit="0" vertical="center" wrapText="1"/>
    </xf>
    <xf borderId="0" fillId="4" fontId="5" numFmtId="0" xfId="0" applyAlignment="1" applyFont="1">
      <alignment horizontal="center" readingOrder="0" shrinkToFit="0" vertical="center" wrapText="1"/>
    </xf>
    <xf borderId="0" fillId="0" fontId="3" numFmtId="49" xfId="0" applyAlignment="1" applyFont="1" applyNumberFormat="1">
      <alignment horizontal="center" readingOrder="0" shrinkToFit="0" vertical="center" wrapText="1"/>
    </xf>
    <xf borderId="0" fillId="4" fontId="7" numFmtId="0" xfId="0" applyAlignment="1" applyFont="1">
      <alignment horizontal="center" readingOrder="0" shrinkToFit="0" vertical="center" wrapText="1"/>
    </xf>
    <xf borderId="0" fillId="0" fontId="3" numFmtId="0" xfId="0" applyAlignment="1" applyFont="1">
      <alignment horizontal="center" shrinkToFit="0" vertical="bottom" wrapText="1"/>
    </xf>
    <xf borderId="0" fillId="3" fontId="8" numFmtId="0" xfId="0" applyAlignment="1" applyFont="1">
      <alignment horizontal="center" readingOrder="0" shrinkToFit="0" vertical="center" wrapText="1"/>
    </xf>
    <xf borderId="0" fillId="4" fontId="9" numFmtId="0" xfId="0" applyAlignment="1" applyFont="1">
      <alignment horizontal="center" readingOrder="0" shrinkToFit="0" vertical="center" wrapText="1"/>
    </xf>
    <xf borderId="0" fillId="0" fontId="3" numFmtId="0" xfId="0" applyAlignment="1" applyFont="1">
      <alignment horizontal="center" readingOrder="0" shrinkToFit="0" wrapText="1"/>
    </xf>
    <xf borderId="0" fillId="3" fontId="10" numFmtId="0" xfId="0" applyAlignment="1" applyFont="1">
      <alignment horizontal="center" readingOrder="0" shrinkToFit="0" vertical="center" wrapText="1"/>
    </xf>
    <xf borderId="0" fillId="5" fontId="11" numFmtId="0" xfId="0" applyAlignment="1" applyFill="1" applyFont="1">
      <alignment horizontal="center" readingOrder="0" shrinkToFit="0" vertical="center" wrapText="1"/>
    </xf>
    <xf borderId="0" fillId="0" fontId="12" numFmtId="49" xfId="0" applyAlignment="1" applyFont="1" applyNumberFormat="1">
      <alignment horizontal="center" readingOrder="0" shrinkToFit="0" vertical="center" wrapText="1"/>
    </xf>
    <xf borderId="0" fillId="5" fontId="13" numFmtId="0" xfId="0" applyAlignment="1" applyFont="1">
      <alignment horizontal="center" readingOrder="0" shrinkToFit="0" vertical="center" wrapText="1"/>
    </xf>
    <xf borderId="0" fillId="0" fontId="12" numFmtId="0" xfId="0" applyAlignment="1" applyFont="1">
      <alignment horizontal="center" readingOrder="0" shrinkToFit="0" vertical="center" wrapText="1"/>
    </xf>
    <xf borderId="0" fillId="0" fontId="2" numFmtId="0" xfId="0" applyAlignment="1" applyFont="1">
      <alignment horizontal="center" readingOrder="0" shrinkToFit="0" vertical="center" wrapText="1"/>
    </xf>
    <xf borderId="0" fillId="0" fontId="2" numFmtId="49" xfId="0" applyAlignment="1" applyFont="1" applyNumberFormat="1">
      <alignment horizontal="center" readingOrder="0" shrinkToFit="0" vertical="center" wrapText="1"/>
    </xf>
    <xf borderId="0" fillId="3" fontId="7" numFmtId="0" xfId="0" applyAlignment="1" applyFont="1">
      <alignment horizontal="center" readingOrder="0" shrinkToFit="0" vertical="center" wrapText="1"/>
    </xf>
    <xf borderId="0" fillId="3" fontId="9" numFmtId="0" xfId="0" applyAlignment="1" applyFont="1">
      <alignment horizontal="center" readingOrder="0" shrinkToFit="0" vertical="center" wrapText="1"/>
    </xf>
    <xf borderId="0" fillId="0" fontId="12" numFmtId="0" xfId="0" applyAlignment="1" applyFont="1">
      <alignment horizontal="center" shrinkToFit="0" wrapText="1"/>
    </xf>
    <xf borderId="0" fillId="0" fontId="12" numFmtId="0" xfId="0" applyAlignment="1" applyFont="1">
      <alignment horizontal="center" readingOrder="0" shrinkToFit="0" wrapText="1"/>
    </xf>
    <xf borderId="0" fillId="0" fontId="12" numFmtId="49" xfId="0" applyAlignment="1" applyFont="1" applyNumberFormat="1">
      <alignment horizontal="center" shrinkToFit="0" wrapText="1"/>
    </xf>
    <xf borderId="0" fillId="0" fontId="12" numFmtId="49" xfId="0" applyAlignment="1" applyFont="1" applyNumberFormat="1">
      <alignment horizontal="center" shrinkToFit="0" vertical="center" wrapText="1"/>
    </xf>
    <xf borderId="0" fillId="0" fontId="12" numFmtId="0" xfId="0" applyAlignment="1" applyFont="1">
      <alignment horizontal="center" readingOrder="0" shrinkToFit="0" vertical="bottom" wrapText="1"/>
    </xf>
    <xf borderId="0" fillId="0" fontId="12" numFmtId="49" xfId="0" applyAlignment="1" applyFont="1" applyNumberFormat="1">
      <alignment horizontal="center" readingOrder="0" shrinkToFit="0" wrapText="1"/>
    </xf>
    <xf borderId="0" fillId="0" fontId="12" numFmtId="49" xfId="0" applyAlignment="1" applyFont="1" applyNumberFormat="1">
      <alignment readingOrder="0" shrinkToFit="0" vertical="center" wrapText="1"/>
    </xf>
    <xf borderId="0" fillId="6" fontId="12" numFmtId="49" xfId="0" applyAlignment="1" applyFill="1" applyFont="1" applyNumberFormat="1">
      <alignment horizontal="center" vertical="center"/>
    </xf>
    <xf borderId="0" fillId="0" fontId="12" numFmtId="49" xfId="0" applyAlignment="1" applyFont="1" applyNumberFormat="1">
      <alignment shrinkToFit="0" vertical="center" wrapText="1"/>
    </xf>
    <xf borderId="0" fillId="0" fontId="12" numFmtId="0" xfId="0" applyAlignment="1" applyFont="1">
      <alignment horizontal="center" shrinkToFit="0" vertical="bottom" wrapText="1"/>
    </xf>
    <xf borderId="0" fillId="0" fontId="12" numFmtId="49" xfId="0" applyAlignment="1" applyFont="1" applyNumberFormat="1">
      <alignment readingOrder="0" shrinkToFit="0" wrapText="1"/>
    </xf>
    <xf borderId="0" fillId="0" fontId="12" numFmtId="49" xfId="0" applyAlignment="1" applyFont="1" applyNumberFormat="1">
      <alignment shrinkToFit="0" wrapText="1"/>
    </xf>
    <xf borderId="0" fillId="0" fontId="12" numFmtId="49" xfId="0" applyAlignment="1" applyFont="1" applyNumberFormat="1">
      <alignment horizontal="center" shrinkToFit="0" vertical="bottom" wrapText="1"/>
    </xf>
    <xf borderId="0" fillId="0" fontId="2" numFmtId="49" xfId="0" applyAlignment="1" applyFont="1" applyNumberFormat="1">
      <alignment horizontal="center" shrinkToFit="0" vertical="bottom" wrapText="1"/>
    </xf>
    <xf borderId="0" fillId="0" fontId="12" numFmtId="49" xfId="0" applyAlignment="1" applyFont="1" applyNumberFormat="1">
      <alignment horizontal="center" readingOrder="0" shrinkToFit="0" vertical="bottom" wrapText="1"/>
    </xf>
    <xf borderId="0" fillId="6" fontId="12" numFmtId="49" xfId="0" applyAlignment="1" applyFont="1" applyNumberFormat="1">
      <alignment horizontal="center" vertical="bottom"/>
    </xf>
    <xf borderId="0" fillId="3" fontId="1" numFmtId="0" xfId="0" applyAlignment="1" applyFont="1">
      <alignment horizontal="center" shrinkToFit="0" wrapText="1"/>
    </xf>
    <xf borderId="0" fillId="4" fontId="3" numFmtId="0" xfId="0" applyAlignment="1" applyFont="1">
      <alignment horizontal="center" shrinkToFit="0" vertical="center" wrapText="1"/>
    </xf>
    <xf borderId="0" fillId="4" fontId="7" numFmtId="0" xfId="0" applyAlignment="1" applyFont="1">
      <alignment horizontal="center" shrinkToFit="0" vertical="center" wrapText="1"/>
    </xf>
    <xf borderId="0" fillId="4" fontId="8" numFmtId="0" xfId="0" applyAlignment="1" applyFont="1">
      <alignment horizontal="center" readingOrder="0" shrinkToFit="0" vertical="center" wrapText="1"/>
    </xf>
    <xf borderId="0" fillId="4" fontId="1" numFmtId="0" xfId="0" applyAlignment="1" applyFont="1">
      <alignment horizontal="center" shrinkToFit="0" vertical="center" wrapText="1"/>
    </xf>
    <xf borderId="0" fillId="0" fontId="12" numFmtId="0" xfId="0" applyAlignment="1" applyFont="1">
      <alignment horizontal="center" shrinkToFit="0" vertical="center" wrapText="1"/>
    </xf>
    <xf borderId="0" fillId="3" fontId="14" numFmtId="0" xfId="0" applyAlignment="1" applyFont="1">
      <alignment horizontal="center" readingOrder="0" shrinkToFit="0" vertical="center" wrapText="1"/>
    </xf>
    <xf borderId="0" fillId="5" fontId="1" numFmtId="0" xfId="0" applyAlignment="1" applyFont="1">
      <alignment horizontal="center" readingOrder="0" shrinkToFit="0" vertical="center" wrapText="1"/>
    </xf>
    <xf borderId="0" fillId="7" fontId="2" numFmtId="0" xfId="0" applyAlignment="1" applyFill="1" applyFont="1">
      <alignment horizontal="center" readingOrder="0" shrinkToFit="0" wrapText="1"/>
    </xf>
    <xf borderId="0" fillId="7" fontId="2" numFmtId="0" xfId="0" applyAlignment="1" applyFont="1">
      <alignment horizontal="right" readingOrder="0" shrinkToFit="0" wrapText="1"/>
    </xf>
    <xf borderId="0" fillId="0" fontId="15" numFmtId="0" xfId="0" applyAlignment="1" applyFont="1">
      <alignment readingOrder="0" shrinkToFit="0" wrapText="1"/>
    </xf>
    <xf borderId="0" fillId="0" fontId="16" numFmtId="0" xfId="0" applyAlignment="1" applyFont="1">
      <alignment shrinkToFit="0" wrapText="1"/>
    </xf>
    <xf borderId="0" fillId="0" fontId="15" numFmtId="10" xfId="0" applyAlignment="1" applyFont="1" applyNumberFormat="1">
      <alignment shrinkToFit="0" wrapText="1"/>
    </xf>
    <xf borderId="0" fillId="0" fontId="16" numFmtId="0" xfId="0" applyAlignment="1" applyFont="1">
      <alignment readingOrder="0" shrinkToFit="0" wrapText="1"/>
    </xf>
    <xf borderId="0" fillId="0" fontId="16" numFmtId="10" xfId="0" applyAlignment="1" applyFont="1" applyNumberFormat="1">
      <alignment shrinkToFit="0" wrapText="1"/>
    </xf>
    <xf borderId="0" fillId="0" fontId="17" numFmtId="0" xfId="0" applyAlignment="1" applyFont="1">
      <alignment readingOrder="0" shrinkToFit="0" wrapText="1"/>
    </xf>
    <xf borderId="1" fillId="0" fontId="1" numFmtId="0" xfId="0" applyAlignment="1" applyBorder="1" applyFont="1">
      <alignment readingOrder="0" shrinkToFit="0" wrapText="0"/>
    </xf>
    <xf borderId="0" fillId="0" fontId="18" numFmtId="0" xfId="0" applyAlignment="1" applyFont="1">
      <alignment horizontal="center" shrinkToFit="0" wrapText="1"/>
    </xf>
    <xf borderId="0" fillId="0" fontId="19" numFmtId="0" xfId="0" applyFont="1"/>
    <xf borderId="0" fillId="0" fontId="12" numFmtId="0" xfId="0" applyAlignment="1" applyFont="1">
      <alignment shrinkToFit="0" wrapText="1"/>
    </xf>
    <xf borderId="0" fillId="0" fontId="3" numFmtId="49" xfId="0" applyAlignment="1" applyFont="1" applyNumberFormat="1">
      <alignment horizontal="center" shrinkToFit="0" wrapText="1"/>
    </xf>
    <xf borderId="0" fillId="6" fontId="20" numFmtId="0" xfId="0" applyAlignment="1" applyFont="1">
      <alignment horizontal="center" shrinkToFit="0" wrapText="1"/>
    </xf>
    <xf borderId="0" fillId="6" fontId="20" numFmtId="49" xfId="0" applyAlignment="1" applyFont="1" applyNumberFormat="1">
      <alignment horizontal="center" shrinkToFit="0" wrapText="1"/>
    </xf>
    <xf borderId="0" fillId="6" fontId="20" numFmtId="0" xfId="0" applyAlignment="1" applyFont="1">
      <alignment shrinkToFit="0" wrapText="1"/>
    </xf>
    <xf borderId="0" fillId="6" fontId="20" numFmtId="49" xfId="0" applyAlignment="1" applyFont="1" applyNumberFormat="1">
      <alignment shrinkToFit="0" wrapText="1"/>
    </xf>
    <xf borderId="0" fillId="6" fontId="12" numFmtId="49" xfId="0" applyAlignment="1" applyFont="1" applyNumberFormat="1">
      <alignment horizont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a:solidFill>
                  <a:srgbClr val="000000"/>
                </a:solidFill>
                <a:latin typeface="+mn-lt"/>
              </a:defRPr>
            </a:pPr>
            <a:r>
              <a:rPr b="1">
                <a:solidFill>
                  <a:srgbClr val="000000"/>
                </a:solidFill>
                <a:latin typeface="+mn-lt"/>
              </a:rPr>
              <a:t>Specific Challenges</a:t>
            </a:r>
          </a:p>
        </c:rich>
      </c:tx>
      <c:overlay val="0"/>
    </c:title>
    <c:plotArea>
      <c:layout/>
      <c:pieChart>
        <c:varyColors val="1"/>
        <c:ser>
          <c:idx val="0"/>
          <c:order val="0"/>
          <c:tx>
            <c:strRef>
              <c:f>'Specifics Analysis'!$B$1</c:f>
            </c:strRef>
          </c:tx>
          <c:dPt>
            <c:idx val="0"/>
            <c:spPr>
              <a:solidFill>
                <a:srgbClr val="4285F4"/>
              </a:solidFill>
            </c:spPr>
          </c:dPt>
          <c:dPt>
            <c:idx val="1"/>
            <c:spPr>
              <a:solidFill>
                <a:srgbClr val="EA4335"/>
              </a:solidFill>
            </c:spPr>
          </c:dPt>
          <c:dLbls>
            <c:dLbl>
              <c:idx val="1"/>
              <c:txPr>
                <a:bodyPr/>
                <a:lstStyle/>
                <a:p>
                  <a:pPr lvl="0">
                    <a:defRPr sz="1800"/>
                  </a:pPr>
                </a:p>
              </c:txPr>
              <c:showLegendKey val="0"/>
              <c:showVal val="1"/>
              <c:showCatName val="0"/>
              <c:showSerName val="0"/>
              <c:showPercent val="0"/>
              <c:showBubbleSize val="0"/>
            </c:dLbl>
            <c:showLegendKey val="0"/>
            <c:showVal val="1"/>
            <c:showCatName val="0"/>
            <c:showSerName val="0"/>
            <c:showPercent val="0"/>
            <c:showBubbleSize val="0"/>
            <c:showLeaderLines val="1"/>
          </c:dLbls>
          <c:cat>
            <c:strRef>
              <c:f>'Specifics Analysis'!$A$2:$A$3</c:f>
            </c:strRef>
          </c:cat>
          <c:val>
            <c:numRef>
              <c:f>'Specifics Analysis'!$B$2:$B$3</c:f>
              <c:numCache/>
            </c:numRef>
          </c:val>
        </c:ser>
        <c:dLbls>
          <c:showLegendKey val="0"/>
          <c:showVal val="0"/>
          <c:showCatName val="0"/>
          <c:showSerName val="0"/>
          <c:showPercent val="0"/>
          <c:showBubbleSize val="0"/>
        </c:dLbls>
        <c:firstSliceAng val="0"/>
      </c:pieChart>
    </c:plotArea>
    <c:legend>
      <c:legendPos val="r"/>
      <c:overlay val="0"/>
      <c:txPr>
        <a:bodyPr/>
        <a:lstStyle/>
        <a:p>
          <a:pPr lvl="0">
            <a:defRPr b="1" sz="160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a:solidFill>
                  <a:srgbClr val="000000"/>
                </a:solidFill>
                <a:latin typeface="+mn-lt"/>
              </a:defRPr>
            </a:pPr>
            <a:r>
              <a:rPr b="1">
                <a:solidFill>
                  <a:srgbClr val="000000"/>
                </a:solidFill>
                <a:latin typeface="+mn-lt"/>
              </a:rPr>
              <a:t>Specific Recommendations</a:t>
            </a:r>
          </a:p>
        </c:rich>
      </c:tx>
      <c:overlay val="0"/>
    </c:title>
    <c:plotArea>
      <c:layout/>
      <c:pieChart>
        <c:varyColors val="1"/>
        <c:ser>
          <c:idx val="0"/>
          <c:order val="0"/>
          <c:tx>
            <c:strRef>
              <c:f>'Specifics Analysis'!$E$1</c:f>
            </c:strRef>
          </c:tx>
          <c:dPt>
            <c:idx val="0"/>
            <c:spPr>
              <a:solidFill>
                <a:srgbClr val="4285F4"/>
              </a:solidFill>
            </c:spPr>
          </c:dPt>
          <c:dPt>
            <c:idx val="1"/>
            <c:spPr>
              <a:solidFill>
                <a:srgbClr val="EA4335"/>
              </a:solidFill>
            </c:spPr>
          </c:dPt>
          <c:dLbls>
            <c:dLbl>
              <c:idx val="0"/>
              <c:txPr>
                <a:bodyPr/>
                <a:lstStyle/>
                <a:p>
                  <a:pPr lvl="0">
                    <a:defRPr sz="1800"/>
                  </a:pPr>
                </a:p>
              </c:txPr>
              <c:showLegendKey val="0"/>
              <c:showVal val="1"/>
              <c:showCatName val="0"/>
              <c:showSerName val="0"/>
              <c:showPercent val="0"/>
              <c:showBubbleSize val="0"/>
            </c:dLbl>
            <c:dLbl>
              <c:idx val="1"/>
              <c:txPr>
                <a:bodyPr/>
                <a:lstStyle/>
                <a:p>
                  <a:pPr lvl="0">
                    <a:defRPr sz="2000"/>
                  </a:pPr>
                </a:p>
              </c:txPr>
              <c:showLegendKey val="0"/>
              <c:showVal val="1"/>
              <c:showCatName val="0"/>
              <c:showSerName val="0"/>
              <c:showPercent val="0"/>
              <c:showBubbleSize val="0"/>
            </c:dLbl>
            <c:showLegendKey val="0"/>
            <c:showVal val="1"/>
            <c:showCatName val="0"/>
            <c:showSerName val="0"/>
            <c:showPercent val="0"/>
            <c:showBubbleSize val="0"/>
            <c:showLeaderLines val="1"/>
          </c:dLbls>
          <c:cat>
            <c:strRef>
              <c:f>'Specifics Analysis'!$A$2:$A$3</c:f>
            </c:strRef>
          </c:cat>
          <c:val>
            <c:numRef>
              <c:f>'Specifics Analysis'!$E$2:$E$3</c:f>
              <c:numCache/>
            </c:numRef>
          </c:val>
        </c:ser>
        <c:dLbls>
          <c:showLegendKey val="0"/>
          <c:showVal val="0"/>
          <c:showCatName val="0"/>
          <c:showSerName val="0"/>
          <c:showPercent val="0"/>
          <c:showBubbleSize val="0"/>
        </c:dLbls>
        <c:firstSliceAng val="0"/>
      </c:pieChart>
    </c:plotArea>
    <c:legend>
      <c:legendPos val="r"/>
      <c:overlay val="0"/>
      <c:txPr>
        <a:bodyPr/>
        <a:lstStyle/>
        <a:p>
          <a:pPr lvl="0">
            <a:defRPr b="1" sz="160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a:solidFill>
                  <a:srgbClr val="000000"/>
                </a:solidFill>
                <a:latin typeface="+mn-lt"/>
              </a:defRPr>
            </a:pPr>
            <a:r>
              <a:rPr b="1">
                <a:solidFill>
                  <a:srgbClr val="000000"/>
                </a:solidFill>
                <a:latin typeface="+mn-lt"/>
              </a:rPr>
              <a:t>Specific Challenges and Recommendations</a:t>
            </a:r>
          </a:p>
        </c:rich>
      </c:tx>
      <c:overlay val="0"/>
    </c:title>
    <c:plotArea>
      <c:layout/>
      <c:pieChart>
        <c:varyColors val="1"/>
        <c:ser>
          <c:idx val="0"/>
          <c:order val="0"/>
          <c:dPt>
            <c:idx val="0"/>
            <c:spPr>
              <a:solidFill>
                <a:srgbClr val="4285F4"/>
              </a:solidFill>
            </c:spPr>
          </c:dPt>
          <c:dPt>
            <c:idx val="1"/>
            <c:spPr>
              <a:solidFill>
                <a:srgbClr val="EA4335"/>
              </a:solidFill>
            </c:spPr>
          </c:dPt>
          <c:dLbls>
            <c:showLegendKey val="0"/>
            <c:showVal val="1"/>
            <c:showCatName val="0"/>
            <c:showSerName val="0"/>
            <c:showPercent val="0"/>
            <c:showBubbleSize val="0"/>
            <c:showLeaderLines val="1"/>
          </c:dLbls>
          <c:cat>
            <c:strRef>
              <c:f>'Specifics Analysis'!$A$2:$A$3</c:f>
            </c:strRef>
          </c:cat>
          <c:val>
            <c:numRef>
              <c:f>'Specifics Analysis'!$H$2:$H$3</c:f>
              <c:numCache/>
            </c:numRef>
          </c:val>
        </c:ser>
        <c:dLbls>
          <c:showLegendKey val="0"/>
          <c:showVal val="0"/>
          <c:showCatName val="0"/>
          <c:showSerName val="0"/>
          <c:showPercent val="0"/>
          <c:showBubbleSize val="0"/>
        </c:dLbls>
        <c:firstSliceAng val="0"/>
      </c:pieChart>
    </c:plotArea>
    <c:legend>
      <c:legendPos val="r"/>
      <c:overlay val="0"/>
      <c:txPr>
        <a:bodyPr/>
        <a:lstStyle/>
        <a:p>
          <a:pPr lvl="0">
            <a:defRPr b="1" sz="1600">
              <a:solidFill>
                <a:srgbClr val="1A1A1A"/>
              </a:solidFill>
              <a:latin typeface="+mn-lt"/>
            </a:defRPr>
          </a:pPr>
        </a:p>
      </c:txPr>
    </c:legend>
    <c:plotVisOnly val="1"/>
  </c:chart>
</c:chartSpace>
</file>

<file path=xl/drawings/_rels/drawing1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47625</xdr:colOff>
      <xdr:row>4</xdr:row>
      <xdr:rowOff>76200</xdr:rowOff>
    </xdr:from>
    <xdr:ext cx="2638425" cy="160972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4</xdr:col>
      <xdr:colOff>28575</xdr:colOff>
      <xdr:row>4</xdr:row>
      <xdr:rowOff>76200</xdr:rowOff>
    </xdr:from>
    <xdr:ext cx="2886075" cy="1609725"/>
    <xdr:graphicFrame>
      <xdr:nvGraphicFramePr>
        <xdr:cNvPr id="2" name="Chart 2" title="Gráfico"/>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6</xdr:col>
      <xdr:colOff>619125</xdr:colOff>
      <xdr:row>4</xdr:row>
      <xdr:rowOff>28575</xdr:rowOff>
    </xdr:from>
    <xdr:ext cx="4305300" cy="2657475"/>
    <xdr:graphicFrame>
      <xdr:nvGraphicFramePr>
        <xdr:cNvPr id="3" name="Chart 3" title="Gráfico"/>
        <xdr:cNvGraphicFramePr/>
      </xdr:nvGraphicFramePr>
      <xdr:xfrm>
        <a:off x="0" y="0"/>
        <a:ext cx="0" cy="0"/>
      </xdr:xfrm>
      <a:graphic>
        <a:graphicData uri="http://schemas.openxmlformats.org/drawingml/2006/chart">
          <c:chart r:id="rId3"/>
        </a:graphicData>
      </a:graphic>
    </xdr:graphicFrame>
    <xdr:clientData fLocksWithSheet="0"/>
  </xdr:oneCellAnchor>
</xdr:wsD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8.xml"/><Relationship Id="rId3"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3.43"/>
    <col customWidth="1" min="3" max="3" width="119.71"/>
    <col customWidth="1" min="4" max="5" width="59.0"/>
    <col customWidth="1" min="6" max="6" width="28.71"/>
    <col customWidth="1" min="7" max="7" width="47.43"/>
  </cols>
  <sheetData>
    <row r="1">
      <c r="A1" s="1" t="s">
        <v>0</v>
      </c>
      <c r="B1" s="1" t="s">
        <v>1</v>
      </c>
      <c r="C1" s="2" t="s">
        <v>2</v>
      </c>
      <c r="D1" s="3" t="s">
        <v>3</v>
      </c>
      <c r="E1" s="3" t="s">
        <v>4</v>
      </c>
      <c r="F1" s="4" t="s">
        <v>5</v>
      </c>
      <c r="G1" s="4" t="s">
        <v>6</v>
      </c>
    </row>
    <row r="2">
      <c r="A2" s="5">
        <v>1.0</v>
      </c>
      <c r="B2" s="6" t="s">
        <v>7</v>
      </c>
      <c r="C2" s="5"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D2" s="5"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E2" s="5" t="str">
        <f>IFERROR(__xludf.DUMMYFUNCTION("""COMPUTED_VALUE"""),"Insufficient knowledge level of students to start the course.")</f>
        <v>Insufficient knowledge level of students to start the course.</v>
      </c>
      <c r="F2" s="7" t="s">
        <v>8</v>
      </c>
      <c r="G2" s="7"/>
    </row>
    <row r="3" ht="69.75" customHeight="1">
      <c r="A3" s="5">
        <v>2.0</v>
      </c>
      <c r="B3" s="6" t="s">
        <v>7</v>
      </c>
      <c r="C3" s="5"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D3" s="5"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E3" s="5" t="str">
        <f>IFERROR(__xludf.DUMMYFUNCTION("""COMPUTED_VALUE"""),"Setting up the infrastructure is difficulty.")</f>
        <v>Setting up the infrastructure is difficulty.</v>
      </c>
      <c r="F3" s="7" t="s">
        <v>9</v>
      </c>
      <c r="G3" s="7"/>
    </row>
    <row r="4" ht="69.75" customHeight="1">
      <c r="A4" s="5">
        <v>3.0</v>
      </c>
      <c r="B4" s="6" t="s">
        <v>7</v>
      </c>
      <c r="C4" s="5"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D4" s="5"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E4" s="5" t="str">
        <f>IFERROR(__xludf.DUMMYFUNCTION("""COMPUTED_VALUE"""),"Limited computional resources.")</f>
        <v>Limited computional resources.</v>
      </c>
      <c r="F4" s="7" t="s">
        <v>8</v>
      </c>
      <c r="G4" s="7"/>
    </row>
    <row r="5">
      <c r="A5" s="5">
        <v>4.0</v>
      </c>
      <c r="B5" s="6" t="s">
        <v>7</v>
      </c>
      <c r="C5" s="5"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D5" s="5"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E5" s="5" t="str">
        <f>IFERROR(__xludf.DUMMYFUNCTION("""COMPUTED_VALUE"""),"Cloud providers usage has limits.")</f>
        <v>Cloud providers usage has limits.</v>
      </c>
      <c r="F5" s="7" t="s">
        <v>8</v>
      </c>
      <c r="G5" s="7"/>
    </row>
    <row r="6" ht="134.25" customHeight="1">
      <c r="A6" s="5">
        <v>6.0</v>
      </c>
      <c r="B6" s="6" t="s">
        <v>7</v>
      </c>
      <c r="C6" s="5"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D6" s="5"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E6" s="5" t="str">
        <f>IFERROR(__xludf.DUMMYFUNCTION("""COMPUTED_VALUE"""),"There is no convention about DevOps concepts.")</f>
        <v>There is no convention about DevOps concepts.</v>
      </c>
      <c r="F6" s="7" t="s">
        <v>9</v>
      </c>
      <c r="G6" s="7"/>
    </row>
    <row r="7" ht="221.25" customHeight="1">
      <c r="A7" s="5">
        <v>7.0</v>
      </c>
      <c r="B7" s="6" t="s">
        <v>7</v>
      </c>
      <c r="C7" s="5" t="str">
        <f>IFERROR(__xludf.DUMMYFUNCTION("filter('Imported Challenges'!B:D,'Imported Challenges'!A:A=A7)"),"I don't know any specific teaching devops tool.")</f>
        <v>I don't know any specific teaching devops tool.</v>
      </c>
      <c r="D7" s="5" t="str">
        <f>IFERROR(__xludf.DUMMYFUNCTION("""COMPUTED_VALUE"""),"Unknown specific devops educational supportive environment.")</f>
        <v>Unknown specific devops educational supportive environment.</v>
      </c>
      <c r="E7" s="5"/>
      <c r="F7" s="7" t="s">
        <v>9</v>
      </c>
      <c r="G7" s="7"/>
    </row>
    <row r="8" ht="134.25" customHeight="1">
      <c r="A8" s="5">
        <v>8.0</v>
      </c>
      <c r="B8" s="6" t="s">
        <v>7</v>
      </c>
      <c r="C8" s="5"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D8" s="5"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8" s="5" t="str">
        <f>IFERROR(__xludf.DUMMYFUNCTION("""COMPUTED_VALUE"""),"Insufficient time in the course to teach DevOps.")</f>
        <v>Insufficient time in the course to teach DevOps.</v>
      </c>
      <c r="F8" s="7" t="s">
        <v>9</v>
      </c>
      <c r="G8" s="7"/>
    </row>
    <row r="9" ht="134.25" customHeight="1">
      <c r="A9" s="5">
        <v>9.0</v>
      </c>
      <c r="B9" s="6" t="s">
        <v>7</v>
      </c>
      <c r="C9" s="5"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D9" s="5"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E9" s="5" t="str">
        <f>IFERROR(__xludf.DUMMYFUNCTION("""COMPUTED_VALUE"""),"Institutions' resources have limits.")</f>
        <v>Institutions' resources have limits.</v>
      </c>
      <c r="F9" s="7" t="s">
        <v>9</v>
      </c>
      <c r="G9" s="7"/>
    </row>
    <row r="10" ht="134.25" customHeight="1">
      <c r="A10" s="5">
        <v>10.0</v>
      </c>
      <c r="B10" s="6" t="s">
        <v>7</v>
      </c>
      <c r="C10" s="5"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D10" s="5" t="str">
        <f>IFERROR(__xludf.DUMMYFUNCTION("""COMPUTED_VALUE"""),"There was no automated environment setup tool to support the student.")</f>
        <v>There was no automated environment setup tool to support the student.</v>
      </c>
      <c r="E10" s="5"/>
      <c r="F10" s="7" t="s">
        <v>9</v>
      </c>
      <c r="G10" s="7"/>
    </row>
    <row r="11" ht="123.75" customHeight="1">
      <c r="A11" s="5">
        <v>11.0</v>
      </c>
      <c r="B11" s="6" t="s">
        <v>7</v>
      </c>
      <c r="C11" s="5"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D11" s="5" t="str">
        <f>IFERROR(__xludf.DUMMYFUNCTION("""COMPUTED_VALUE"""),"There was no script for the student on how to install the tools used during the course.")</f>
        <v>There was no script for the student on how to install the tools used during the course.</v>
      </c>
      <c r="E11" s="5"/>
      <c r="F11" s="7" t="s">
        <v>8</v>
      </c>
      <c r="G11" s="7"/>
    </row>
    <row r="12" ht="123.75" customHeight="1">
      <c r="A12" s="5">
        <v>12.0</v>
      </c>
      <c r="B12" s="6" t="s">
        <v>7</v>
      </c>
      <c r="C12" s="5"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D12" s="5"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E12" s="5" t="str">
        <f>IFERROR(__xludf.DUMMYFUNCTION("""COMPUTED_VALUE"""),"Insufficient literature related to teach DevOps.")</f>
        <v>Insufficient literature related to teach DevOps.</v>
      </c>
      <c r="F12" s="7" t="s">
        <v>9</v>
      </c>
      <c r="G12" s="7"/>
    </row>
    <row r="13" ht="123.75" customHeight="1">
      <c r="A13" s="5">
        <v>13.0</v>
      </c>
      <c r="B13" s="6" t="s">
        <v>7</v>
      </c>
      <c r="C13" s="5"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D13" s="5"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E13" s="5" t="str">
        <f>IFERROR(__xludf.DUMMYFUNCTION("""COMPUTED_VALUE"""),"Difficulty in making clear to students the importance of having a more realistic perspective of production.")</f>
        <v>Difficulty in making clear to students the importance of having a more realistic perspective of production.</v>
      </c>
      <c r="F13" s="7" t="s">
        <v>9</v>
      </c>
      <c r="G13" s="7"/>
    </row>
    <row r="14" ht="123.75" customHeight="1">
      <c r="A14" s="5">
        <v>14.0</v>
      </c>
      <c r="B14" s="6" t="s">
        <v>7</v>
      </c>
      <c r="C14" s="5"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D14" s="5"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E14" s="5"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F14" s="7" t="s">
        <v>9</v>
      </c>
      <c r="G14" s="8"/>
    </row>
    <row r="15" ht="123.75" customHeight="1">
      <c r="A15" s="5">
        <v>15.0</v>
      </c>
      <c r="B15" s="6" t="s">
        <v>7</v>
      </c>
      <c r="C15" s="5"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D15" s="5" t="str">
        <f>IFERROR(__xludf.DUMMYFUNCTION("""COMPUTED_VALUE"""),"Difficulty in assessing students' understanding of Continuous Delivery.")</f>
        <v>Difficulty in assessing students' understanding of Continuous Delivery.</v>
      </c>
      <c r="E15" s="5"/>
      <c r="F15" s="7" t="s">
        <v>9</v>
      </c>
      <c r="G15" s="8"/>
    </row>
    <row r="16">
      <c r="A16" s="5">
        <v>16.0</v>
      </c>
      <c r="B16" s="6" t="s">
        <v>7</v>
      </c>
      <c r="C16" s="5" t="str">
        <f>IFERROR(__xludf.DUMMYFUNCTION("filter('Imported Challenges'!B:D,'Imported Challenges'!A:A=A16)"),"It's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D16" s="5"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16" s="5" t="str">
        <f>IFERROR(__xludf.DUMMYFUNCTION("""COMPUTED_VALUE"""),"The process of making students migrate to other tools it's hard.")</f>
        <v>The process of making students migrate to other tools it's hard.</v>
      </c>
      <c r="F16" s="7" t="s">
        <v>8</v>
      </c>
      <c r="G16" s="4"/>
    </row>
    <row r="17">
      <c r="A17" s="5">
        <v>17.0</v>
      </c>
      <c r="B17" s="6" t="s">
        <v>7</v>
      </c>
      <c r="C17" s="5" t="str">
        <f>IFERROR(__xludf.DUMMYFUNCTION("filter('Imported Challenges'!B:D,'Imported Challenges'!A:A=A17)"),"the docker, [...] to use, they usually have a greater difficulty in this theme, in the beginning.")</f>
        <v>the docker, [...] to use, they usually have a greater difficulty in this theme, in the beginning.</v>
      </c>
      <c r="D17" s="5" t="str">
        <f>IFERROR(__xludf.DUMMYFUNCTION("""COMPUTED_VALUE"""),"Initial difficulty using the Docker container tool.")</f>
        <v>Initial difficulty using the Docker container tool.</v>
      </c>
      <c r="E17" s="5"/>
      <c r="F17" s="7" t="s">
        <v>9</v>
      </c>
      <c r="G17" s="7"/>
    </row>
    <row r="18">
      <c r="A18" s="5">
        <v>19.0</v>
      </c>
      <c r="B18" s="6" t="s">
        <v>7</v>
      </c>
      <c r="C18" s="5" t="str">
        <f>IFERROR(__xludf.DUMMYFUNCTION("filter('Imported Challenges'!B:D,'Imported Challenges'!A:A=A18)"),"A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D18" s="5" t="str">
        <f>IFERROR(__xludf.DUMMYFUNCTION("""COMPUTED_VALUE"""),"The student has difficulty realizing the importance of setting the environment.")</f>
        <v>The student has difficulty realizing the importance of setting the environment.</v>
      </c>
      <c r="E18" s="5"/>
      <c r="F18" s="7" t="s">
        <v>9</v>
      </c>
      <c r="G18" s="7"/>
    </row>
    <row r="19">
      <c r="A19" s="5">
        <v>22.0</v>
      </c>
      <c r="B19" s="6" t="s">
        <v>7</v>
      </c>
      <c r="C19" s="5" t="str">
        <f>IFERROR(__xludf.DUMMYFUNCTION("filter('Imported Challenges'!B:D,'Imported Challenges'!A:A=A19)"),"The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D19" s="5"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E19" s="5" t="str">
        <f>IFERROR(__xludf.DUMMYFUNCTION("""COMPUTED_VALUE"""),"There is a large number of DevOps tools.")</f>
        <v>There is a large number of DevOps tools.</v>
      </c>
      <c r="F19" s="7" t="s">
        <v>9</v>
      </c>
      <c r="G19" s="9"/>
    </row>
    <row r="20">
      <c r="A20" s="5">
        <v>25.0</v>
      </c>
      <c r="B20" s="6" t="s">
        <v>7</v>
      </c>
      <c r="C20" s="5" t="str">
        <f>IFERROR(__xludf.DUMMYFUNCTION("filter('Imported Challenges'!B:D,'Imported Challenges'!A:A=A20)"),"The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D20" s="5"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E20" s="5" t="str">
        <f>IFERROR(__xludf.DUMMYFUNCTION("""COMPUTED_VALUE"""),"DevOps culture is hard to teach. ")</f>
        <v>DevOps culture is hard to teach. </v>
      </c>
      <c r="F20" s="7" t="s">
        <v>9</v>
      </c>
      <c r="G20" s="7"/>
    </row>
    <row r="21">
      <c r="A21" s="5">
        <v>27.0</v>
      </c>
      <c r="B21" s="6" t="s">
        <v>7</v>
      </c>
      <c r="C21" s="5" t="str">
        <f>IFERROR(__xludf.DUMMYFUNCTION("filter('Imported Challenges'!B:D,'Imported Challenges'!A:A=A21)"),"As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D21" s="5"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E21" s="5"/>
      <c r="F21" s="7" t="s">
        <v>8</v>
      </c>
      <c r="G21" s="7"/>
    </row>
    <row r="22">
      <c r="A22" s="5">
        <v>28.0</v>
      </c>
      <c r="B22" s="6" t="s">
        <v>7</v>
      </c>
      <c r="C22" s="5" t="str">
        <f>IFERROR(__xludf.DUMMYFUNCTION("filter('Imported Challenges'!B:D,'Imported Challenges'!A:A=A22)"),"[...]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22" s="5" t="str">
        <f>IFERROR(__xludf.DUMMYFUNCTION("""COMPUTED_VALUE"""),"Difficulty dealing with assessments based on a traditional test model.")</f>
        <v>Difficulty dealing with assessments based on a traditional test model.</v>
      </c>
      <c r="E22" s="5"/>
      <c r="F22" s="7" t="s">
        <v>9</v>
      </c>
      <c r="G22" s="7"/>
    </row>
    <row r="23">
      <c r="A23" s="5">
        <v>30.0</v>
      </c>
      <c r="B23" s="6" t="s">
        <v>7</v>
      </c>
      <c r="C23" s="5" t="str">
        <f>IFERROR(__xludf.DUMMYFUNCTION("filter('Imported Challenges'!B:D,'Imported Challenges'!A:A=A23)"),"If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D23" s="5"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E23" s="5" t="str">
        <f>IFERROR(__xludf.DUMMYFUNCTION("""COMPUTED_VALUE"""),"Teach DevOps concepts to students no industrial experience is hard.")</f>
        <v>Teach DevOps concepts to students no industrial experience is hard.</v>
      </c>
      <c r="F23" s="7" t="s">
        <v>9</v>
      </c>
      <c r="G23" s="4"/>
    </row>
    <row r="24">
      <c r="A24" s="5">
        <v>31.0</v>
      </c>
      <c r="B24" s="6" t="s">
        <v>7</v>
      </c>
      <c r="C24" s="5" t="str">
        <f>IFERROR(__xludf.DUMMYFUNCTION("filter('Imported Challenges'!B:D,'Imported Challenges'!A:A=A24)"),"DevSecOps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D24" s="5"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E24" s="5" t="str">
        <f>IFERROR(__xludf.DUMMYFUNCTION("""COMPUTED_VALUE"""),"Skills to teach DevOps are challeging.")</f>
        <v>Skills to teach DevOps are challeging.</v>
      </c>
      <c r="F24" s="7" t="s">
        <v>9</v>
      </c>
      <c r="G24" s="7"/>
    </row>
    <row r="25">
      <c r="A25" s="5">
        <v>33.0</v>
      </c>
      <c r="B25" s="6" t="s">
        <v>7</v>
      </c>
      <c r="C25" s="5" t="str">
        <f>IFERROR(__xludf.DUMMYFUNCTION("filter('Imported Challenges'!B:D,'Imported Challenges'!A:A=A25)"),"Another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D25" s="5" t="str">
        <f>IFERROR(__xludf.DUMMYFUNCTION("""COMPUTED_VALUE"""),"Students find it difficult to configure the tools on their own machines in remote teaching mode.")</f>
        <v>Students find it difficult to configure the tools on their own machines in remote teaching mode.</v>
      </c>
      <c r="E25" s="5"/>
      <c r="F25" s="7" t="s">
        <v>8</v>
      </c>
      <c r="G25" s="7"/>
    </row>
    <row r="26">
      <c r="A26" s="5">
        <v>34.0</v>
      </c>
      <c r="B26" s="6" t="s">
        <v>7</v>
      </c>
      <c r="C26" s="5" t="str">
        <f>IFERROR(__xludf.DUMMYFUNCTION("filter('Imported Challenges'!B:D,'Imported Challenges'!A:A=A26)"),"Doing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D26" s="5"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26" s="5" t="str">
        <f>IFERROR(__xludf.DUMMYFUNCTION("""COMPUTED_VALUE"""),"Small examples weren't really satisfactory.")</f>
        <v>Small examples weren't really satisfactory.</v>
      </c>
      <c r="F26" s="7" t="s">
        <v>8</v>
      </c>
      <c r="G26" s="4"/>
    </row>
    <row r="27">
      <c r="A27" s="5">
        <v>36.0</v>
      </c>
      <c r="B27" s="6" t="s">
        <v>7</v>
      </c>
      <c r="C27" s="10" t="str">
        <f>IFERROR(__xludf.DUMMYFUNCTION("filter('Imported Challenges'!B:D,'Imported Challenges'!A:A=A27)"),"For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D27" s="10"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E27" s="10" t="str">
        <f>IFERROR(__xludf.DUMMYFUNCTION("""COMPUTED_VALUE"""),"Comunications with students is hard when classes are remote.")</f>
        <v>Comunications with students is hard when classes are remote.</v>
      </c>
      <c r="F27" s="7" t="s">
        <v>8</v>
      </c>
      <c r="G27" s="7"/>
    </row>
    <row r="28">
      <c r="A28" s="5">
        <v>37.0</v>
      </c>
      <c r="B28" s="6" t="s">
        <v>7</v>
      </c>
      <c r="C28" s="10" t="str">
        <f>IFERROR(__xludf.DUMMYFUNCTION("filter('Imported Challenges'!B:D,'Imported Challenges'!A:A=A28)"),"There's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D28" s="5" t="str">
        <f>IFERROR(__xludf.DUMMYFUNCTION("""COMPUTED_VALUE"""),"Difficulty in understanding environment, tools and network configuration.")</f>
        <v>Difficulty in understanding environment, tools and network configuration.</v>
      </c>
      <c r="E28" s="5"/>
      <c r="F28" s="7" t="s">
        <v>8</v>
      </c>
      <c r="G28" s="7"/>
    </row>
    <row r="29" ht="53.25" customHeight="1">
      <c r="A29" s="5">
        <v>39.0</v>
      </c>
      <c r="B29" s="6" t="s">
        <v>7</v>
      </c>
      <c r="C29" s="5" t="str">
        <f>IFERROR(__xludf.DUMMYFUNCTION("filter('Imported Challenges'!B:D,'Imported Challenges'!A:A=A29)"),"This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D29" s="5"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E29" s="5" t="str">
        <f>IFERROR(__xludf.DUMMYFUNCTION("""COMPUTED_VALUE"""),"It's challeging to find the right sized examples to teach DevOps.")</f>
        <v>It's challeging to find the right sized examples to teach DevOps.</v>
      </c>
      <c r="F29" s="7" t="s">
        <v>8</v>
      </c>
      <c r="G29" s="7"/>
    </row>
    <row r="30">
      <c r="A30" s="5">
        <v>40.0</v>
      </c>
      <c r="B30" s="6" t="s">
        <v>7</v>
      </c>
      <c r="C30" s="5" t="str">
        <f>IFERROR(__xludf.DUMMYFUNCTION("filter('Imported Challenges'!B:D,'Imported Challenges'!A:A=A30)"),"So,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D30" s="5"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E30" s="5" t="str">
        <f>IFERROR(__xludf.DUMMYFUNCTION("""COMPUTED_VALUE"""),"Lack of time to prepare classes to teach DevOps.")</f>
        <v>Lack of time to prepare classes to teach DevOps.</v>
      </c>
      <c r="F30" s="7" t="s">
        <v>8</v>
      </c>
      <c r="G30" s="7"/>
    </row>
    <row r="31">
      <c r="A31" s="5">
        <v>42.0</v>
      </c>
      <c r="B31" s="6" t="s">
        <v>7</v>
      </c>
      <c r="C31" s="5" t="str">
        <f>IFERROR(__xludf.DUMMYFUNCTION("filter('Imported Challenges'!B:D,'Imported Challenges'!A:A=A31)"),"[...]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D31" s="5"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E31" s="5" t="str">
        <f>IFERROR(__xludf.DUMMYFUNCTION("""COMPUTED_VALUE"""),"It's difficult to deal with different hardware and software.")</f>
        <v>It's difficult to deal with different hardware and software.</v>
      </c>
      <c r="F31" s="7" t="s">
        <v>9</v>
      </c>
      <c r="G31" s="7"/>
    </row>
    <row r="32">
      <c r="A32" s="5">
        <v>43.0</v>
      </c>
      <c r="B32" s="6"/>
      <c r="C32" s="10" t="str">
        <f>IFERROR(__xludf.DUMMYFUNCTION("filter('Imported Challenges'!B:D,'Imported Challenges'!A:A=A32)"),"Then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32" s="10"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32" s="10" t="str">
        <f>IFERROR(__xludf.DUMMYFUNCTION("""COMPUTED_VALUE"""),"Prepare the labs environment requires a lot of time.")</f>
        <v>Prepare the labs environment requires a lot of time.</v>
      </c>
      <c r="F32" s="7" t="s">
        <v>9</v>
      </c>
      <c r="G32" s="7"/>
    </row>
    <row r="33">
      <c r="A33" s="5">
        <v>45.0</v>
      </c>
      <c r="B33" s="6" t="s">
        <v>7</v>
      </c>
      <c r="C33" s="5" t="str">
        <f>IFERROR(__xludf.DUMMYFUNCTION("filter('Imported Challenges'!B:D,'Imported Challenges'!A:A=A33)"),"Because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D33" s="5"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E33" s="5" t="str">
        <f>IFERROR(__xludf.DUMMYFUNCTION("""COMPUTED_VALUE"""),"Difficulty in using multiple materials to create the classes.")</f>
        <v>Difficulty in using multiple materials to create the classes.</v>
      </c>
      <c r="F33" s="7" t="s">
        <v>9</v>
      </c>
      <c r="G33" s="7"/>
    </row>
    <row r="34">
      <c r="A34" s="5">
        <v>46.0</v>
      </c>
      <c r="B34" s="6" t="s">
        <v>7</v>
      </c>
      <c r="C34" s="5" t="str">
        <f>IFERROR(__xludf.DUMMYFUNCTION("filter('Imported Challenges'!B:D,'Imported Challenges'!A:A=A34)"),"And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D34" s="5"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E34" s="5" t="str">
        <f>IFERROR(__xludf.DUMMYFUNCTION("""COMPUTED_VALUE"""),"Students rely on limited material instead of reading books.")</f>
        <v>Students rely on limited material instead of reading books.</v>
      </c>
      <c r="F34" s="7" t="s">
        <v>8</v>
      </c>
      <c r="G34" s="7"/>
    </row>
    <row r="35">
      <c r="A35" s="5">
        <v>48.0</v>
      </c>
      <c r="B35" s="6" t="s">
        <v>7</v>
      </c>
      <c r="C35" s="5" t="str">
        <f>IFERROR(__xludf.DUMMYFUNCTION("filter('Imported Challenges'!B:D,'Imported Challenges'!A:A=A35)"),"There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D35" s="5"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E35" s="5" t="str">
        <f>IFERROR(__xludf.DUMMYFUNCTION("""COMPUTED_VALUE"""),"Difficulty in structuring the learning journey.")</f>
        <v>Difficulty in structuring the learning journey.</v>
      </c>
      <c r="F35" s="7" t="s">
        <v>8</v>
      </c>
      <c r="G35" s="7"/>
    </row>
    <row r="36">
      <c r="A36" s="5">
        <v>49.0</v>
      </c>
      <c r="B36" s="6" t="s">
        <v>7</v>
      </c>
      <c r="C36" s="5" t="str">
        <f>IFERROR(__xludf.DUMMYFUNCTION("filter('Imported Challenges'!B:D,'Imported Challenges'!A:A=A36)"),"team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D36" s="5" t="str">
        <f>IFERROR(__xludf.DUMMYFUNCTION("""COMPUTED_VALUE"""),"Large class assessment requires great effort.")</f>
        <v>Large class assessment requires great effort.</v>
      </c>
      <c r="E36" s="5"/>
      <c r="F36" s="7" t="s">
        <v>9</v>
      </c>
      <c r="G36" s="7"/>
    </row>
    <row r="37">
      <c r="A37" s="5">
        <v>51.0</v>
      </c>
      <c r="B37" s="6" t="s">
        <v>7</v>
      </c>
      <c r="C37" s="10" t="str">
        <f>IFERROR(__xludf.DUMMYFUNCTION("filter('Imported Challenges'!B:D,'Imported Challenges'!A:A=A37)"),"This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D37" s="10" t="str">
        <f>IFERROR(__xludf.DUMMYFUNCTION("""COMPUTED_VALUE"""),"Rapid and constant changes in DevOps make it difficult to create a teaching plan.")</f>
        <v>Rapid and constant changes in DevOps make it difficult to create a teaching plan.</v>
      </c>
      <c r="E37" s="10"/>
      <c r="F37" s="7" t="s">
        <v>9</v>
      </c>
      <c r="G37" s="7"/>
    </row>
    <row r="38">
      <c r="A38" s="5">
        <v>52.0</v>
      </c>
      <c r="B38" s="6" t="s">
        <v>7</v>
      </c>
      <c r="C38" s="10" t="str">
        <f>IFERROR(__xludf.DUMMYFUNCTION("filter('Imported Challenges'!B:D,'Imported Challenges'!A:A=A38)"),"""DevOps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D38" s="10" t="str">
        <f>IFERROR(__xludf.DUMMYFUNCTION("""COMPUTED_VALUE"""),"Difficulty in linking DevOps classes with other subjects of interest to students.")</f>
        <v>Difficulty in linking DevOps classes with other subjects of interest to students.</v>
      </c>
      <c r="E38" s="10"/>
      <c r="F38" s="7" t="s">
        <v>9</v>
      </c>
      <c r="G38" s="7"/>
    </row>
    <row r="39">
      <c r="A39" s="11">
        <v>53.0</v>
      </c>
      <c r="B39" s="6" t="s">
        <v>7</v>
      </c>
      <c r="C39" s="10" t="str">
        <f>IFERROR(__xludf.DUMMYFUNCTION("filter('Imported Challenges'!B:D,'Imported Challenges'!A:A=A39)"),"There are several environments in the cloud, but they all cost money.")</f>
        <v>There are several environments in the cloud, but they all cost money.</v>
      </c>
      <c r="D39" s="10" t="str">
        <f>IFERROR(__xludf.DUMMYFUNCTION("""COMPUTED_VALUE"""),"Environment set up in a cloud service cost money.")</f>
        <v>Environment set up in a cloud service cost money.</v>
      </c>
      <c r="E39" s="10"/>
      <c r="F39" s="7" t="s">
        <v>9</v>
      </c>
      <c r="G39" s="12"/>
    </row>
    <row r="40">
      <c r="A40" s="11">
        <v>54.0</v>
      </c>
      <c r="B40" s="6" t="s">
        <v>7</v>
      </c>
      <c r="C40" s="10" t="str">
        <f>IFERROR(__xludf.DUMMYFUNCTION("filter('Imported Challenges'!B:D,'Imported Challenges'!A:A=A40)"),"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D40" s="10" t="str">
        <f>IFERROR(__xludf.DUMMYFUNCTION("""COMPUTED_VALUE"""),"VirtualBox has limitation in MacOS.")</f>
        <v>VirtualBox has limitation in MacOS.</v>
      </c>
      <c r="E40" s="10"/>
      <c r="F40" s="7" t="s">
        <v>8</v>
      </c>
      <c r="G40" s="12" t="s">
        <v>10</v>
      </c>
    </row>
    <row r="41">
      <c r="A41" s="11">
        <v>56.0</v>
      </c>
      <c r="B41" s="6" t="s">
        <v>7</v>
      </c>
      <c r="C41" s="10" t="str">
        <f>IFERROR(__xludf.DUMMYFUNCTION("filter('Imported Challenges'!B:D,'Imported Challenges'!A:A=A41)"),"A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D41" s="10"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E41" s="10" t="str">
        <f>IFERROR(__xludf.DUMMYFUNCTION("""COMPUTED_VALUE"""),"It is difficult to teach agile techniques.")</f>
        <v>It is difficult to teach agile techniques.</v>
      </c>
      <c r="F41" s="7" t="s">
        <v>8</v>
      </c>
      <c r="G41" s="7"/>
    </row>
    <row r="42">
      <c r="A42" s="11">
        <v>57.0</v>
      </c>
      <c r="B42" s="6" t="s">
        <v>7</v>
      </c>
      <c r="C42" s="10" t="str">
        <f>IFERROR(__xludf.DUMMYFUNCTION("filter('Imported Challenges'!B:D,'Imported Challenges'!A:A=A42)"),"Are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D42" s="10" t="str">
        <f>IFERROR(__xludf.DUMMYFUNCTION("""COMPUTED_VALUE"""),"It is challeging to verify if the students learn the devops process of working.")</f>
        <v>It is challeging to verify if the students learn the devops process of working.</v>
      </c>
      <c r="E42" s="10"/>
      <c r="F42" s="7" t="s">
        <v>9</v>
      </c>
      <c r="G42" s="12" t="s">
        <v>11</v>
      </c>
    </row>
    <row r="43">
      <c r="A43" s="11">
        <v>59.0</v>
      </c>
      <c r="B43" s="6" t="s">
        <v>7</v>
      </c>
      <c r="C43" s="10" t="str">
        <f>IFERROR(__xludf.DUMMYFUNCTION("filter('Imported Challenges'!B:D,'Imported Challenges'!A:A=A43)"),"You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D43" s="10" t="str">
        <f>IFERROR(__xludf.DUMMYFUNCTION("""COMPUTED_VALUE"""),"Teach operational activities is ignored because it is hard.")</f>
        <v>Teach operational activities is ignored because it is hard.</v>
      </c>
      <c r="E43" s="10"/>
      <c r="F43" s="7" t="s">
        <v>9</v>
      </c>
      <c r="G43" s="7"/>
    </row>
    <row r="44">
      <c r="A44" s="11">
        <v>60.0</v>
      </c>
      <c r="B44" s="6" t="s">
        <v>7</v>
      </c>
      <c r="C44" s="10" t="str">
        <f>IFERROR(__xludf.DUMMYFUNCTION("filter('Imported Challenges'!B:D,'Imported Challenges'!A:A=A44)"),"That is a lot of the devops principles that come into play. ")</f>
        <v>That is a lot of the devops principles that come into play. </v>
      </c>
      <c r="D44" s="10" t="str">
        <f>IFERROR(__xludf.DUMMYFUNCTION("""COMPUTED_VALUE"""),"Many devops concepts need to be taught.")</f>
        <v>Many devops concepts need to be taught.</v>
      </c>
      <c r="E44" s="10"/>
      <c r="F44" s="7" t="s">
        <v>9</v>
      </c>
      <c r="G44" s="12" t="s">
        <v>12</v>
      </c>
    </row>
    <row r="45">
      <c r="A45" s="11">
        <v>62.0</v>
      </c>
      <c r="B45" s="6" t="s">
        <v>7</v>
      </c>
      <c r="C45" s="10" t="str">
        <f>IFERROR(__xludf.DUMMYFUNCTION("filter('Imported Challenges'!B:D,'Imported Challenges'!A:A=A45)"),"A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D45" s="10" t="str">
        <f>IFERROR(__xludf.DUMMYFUNCTION("""COMPUTED_VALUE"""),"Students are not at a level in the their companies where they can introduce DevOps mindset.")</f>
        <v>Students are not at a level in the their companies where they can introduce DevOps mindset.</v>
      </c>
      <c r="E45" s="10"/>
      <c r="F45" s="7" t="s">
        <v>9</v>
      </c>
      <c r="G45" s="12" t="s">
        <v>13</v>
      </c>
    </row>
    <row r="46">
      <c r="A46" s="11">
        <v>63.0</v>
      </c>
      <c r="B46" s="6" t="s">
        <v>7</v>
      </c>
      <c r="C46" s="10" t="str">
        <f>IFERROR(__xludf.DUMMYFUNCTION("filter('Imported Challenges'!B:D,'Imported Challenges'!A:A=A46)"),"It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D46" s="10" t="str">
        <f>IFERROR(__xludf.DUMMYFUNCTION("""COMPUTED_VALUE"""),"It is hard to find strategies from industry unless if it written in a paper.")</f>
        <v>It is hard to find strategies from industry unless if it written in a paper.</v>
      </c>
      <c r="E46" s="10"/>
      <c r="F46" s="7" t="s">
        <v>8</v>
      </c>
      <c r="G46" s="7"/>
    </row>
    <row r="47">
      <c r="A47" s="11">
        <v>65.0</v>
      </c>
      <c r="B47" s="6" t="s">
        <v>7</v>
      </c>
      <c r="C47" s="10" t="str">
        <f>IFERROR(__xludf.DUMMYFUNCTION("filter('Imported Challenges'!B:D,'Imported Challenges'!A:A=A47)"),"The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D47" s="10"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E47" s="10"/>
      <c r="F47" s="7" t="s">
        <v>8</v>
      </c>
      <c r="G47" s="12"/>
    </row>
    <row r="48">
      <c r="A48" s="11">
        <v>66.0</v>
      </c>
      <c r="B48" s="6" t="s">
        <v>7</v>
      </c>
      <c r="C48" s="10" t="str">
        <f>IFERROR(__xludf.DUMMYFUNCTION("filter('Imported Challenges'!B:D,'Imported Challenges'!A:A=A48)"),"Human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D48" s="10"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E48" s="10" t="str">
        <f>IFERROR(__xludf.DUMMYFUNCTION("""COMPUTED_VALUE"""),"DevOps course doesn't look relevant for undergratuate students when you start teaching.")</f>
        <v>DevOps course doesn't look relevant for undergratuate students when you start teaching.</v>
      </c>
      <c r="F48" s="7" t="s">
        <v>9</v>
      </c>
      <c r="G48" s="7"/>
    </row>
    <row r="49">
      <c r="A49" s="11">
        <v>68.0</v>
      </c>
      <c r="B49" s="6" t="s">
        <v>7</v>
      </c>
      <c r="C49" s="10" t="str">
        <f>IFERROR(__xludf.DUMMYFUNCTION("filter('Imported Challenges'!B:D,'Imported Challenges'!A:A=A49)"),"Uh,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D49" s="10" t="str">
        <f>IFERROR(__xludf.DUMMYFUNCTION("""COMPUTED_VALUE"""),"It's hard to supervise students' work when you use a lot of virtual machines.")</f>
        <v>It's hard to supervise students' work when you use a lot of virtual machines.</v>
      </c>
      <c r="E49" s="10"/>
      <c r="F49" s="7" t="s">
        <v>9</v>
      </c>
      <c r="G49" s="7"/>
    </row>
    <row r="50">
      <c r="A50" s="11">
        <v>69.0</v>
      </c>
      <c r="B50" s="6" t="s">
        <v>7</v>
      </c>
      <c r="C50" s="10" t="str">
        <f>IFERROR(__xludf.DUMMYFUNCTION("filter('Imported Challenges'!B:D,'Imported Challenges'!A:A=A50)"),"It's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D50" s="10" t="str">
        <f>IFERROR(__xludf.DUMMYFUNCTION("""COMPUTED_VALUE"""),"It's hard for students to see the values of deployment side and they don't want to do operational activities.")</f>
        <v>It's hard for students to see the values of deployment side and they don't want to do operational activities.</v>
      </c>
      <c r="E50" s="10"/>
      <c r="F50" s="7" t="s">
        <v>9</v>
      </c>
      <c r="G50" s="12"/>
    </row>
    <row r="51">
      <c r="A51" s="11">
        <v>71.0</v>
      </c>
      <c r="B51" s="6" t="s">
        <v>7</v>
      </c>
      <c r="C51" s="10" t="str">
        <f>IFERROR(__xludf.DUMMYFUNCTION("filter('Imported Challenges'!B:D,'Imported Challenges'!A:A=A51)"),"It's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D51" s="10"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E51" s="10" t="str">
        <f>IFERROR(__xludf.DUMMYFUNCTION("""COMPUTED_VALUE"""),"The preparation of the exercise is demanding.")</f>
        <v>The preparation of the exercise is demanding.</v>
      </c>
      <c r="F51" s="7" t="s">
        <v>9</v>
      </c>
      <c r="G51" s="7"/>
    </row>
    <row r="52">
      <c r="A52" s="11">
        <v>72.0</v>
      </c>
      <c r="B52" s="6" t="s">
        <v>7</v>
      </c>
      <c r="C52" s="10" t="str">
        <f>IFERROR(__xludf.DUMMYFUNCTION("filter('Imported Challenges'!B:D,'Imported Challenges'!A:A=A52)"),"Um,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D52" s="10" t="str">
        <f>IFERROR(__xludf.DUMMYFUNCTION("""COMPUTED_VALUE"""),"Teach DevOps requires much knowledge from the professor who could not be familiar with it.")</f>
        <v>Teach DevOps requires much knowledge from the professor who could not be familiar with it.</v>
      </c>
      <c r="E52" s="10"/>
      <c r="F52" s="7" t="s">
        <v>9</v>
      </c>
      <c r="G52" s="7"/>
    </row>
    <row r="53">
      <c r="A53" s="11">
        <v>74.0</v>
      </c>
      <c r="B53" s="6" t="s">
        <v>7</v>
      </c>
      <c r="C53" s="10" t="str">
        <f>IFERROR(__xludf.DUMMYFUNCTION("filter('Imported Challenges'!B:D,'Imported Challenges'!A:A=A53)"),"We show them Kubernetes, um, but they don't really have time to practice on Kubernetes.")</f>
        <v>We show them Kubernetes, um, but they don't really have time to practice on Kubernetes.</v>
      </c>
      <c r="D53" s="10" t="str">
        <f>IFERROR(__xludf.DUMMYFUNCTION("""COMPUTED_VALUE"""),"They don't have time to practice on Kubernetes because it is lot of work.")</f>
        <v>They don't have time to practice on Kubernetes because it is lot of work.</v>
      </c>
      <c r="E53" s="10"/>
      <c r="F53" s="7" t="s">
        <v>9</v>
      </c>
      <c r="G53" s="7"/>
    </row>
    <row r="54">
      <c r="A54" s="11">
        <v>75.0</v>
      </c>
      <c r="B54" s="6" t="s">
        <v>7</v>
      </c>
      <c r="C54" s="10" t="str">
        <f>IFERROR(__xludf.DUMMYFUNCTION("filter('Imported Challenges'!B:D,'Imported Challenges'!A:A=A54)"),"And as I said, we, students are doing other things. So this means we are limited in what we can ask them.")</f>
        <v>And as I said, we, students are doing other things. So this means we are limited in what we can ask them.</v>
      </c>
      <c r="D54" s="10"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E54" s="10"/>
      <c r="F54" s="7" t="s">
        <v>8</v>
      </c>
      <c r="G54" s="7"/>
    </row>
    <row r="55">
      <c r="A55" s="11">
        <v>77.0</v>
      </c>
      <c r="B55" s="6"/>
      <c r="C55" s="10" t="str">
        <f>IFERROR(__xludf.DUMMYFUNCTION("filter('Imported Challenges'!B:D,'Imported Challenges'!A:A=A55)"),"The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D55" s="10"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E55" s="10" t="str">
        <f>IFERROR(__xludf.DUMMYFUNCTION("""COMPUTED_VALUE"""),"There is no convention as to what are the main DevOps concepts that should be taught.")</f>
        <v>There is no convention as to what are the main DevOps concepts that should be taught.</v>
      </c>
      <c r="F55" s="7" t="s">
        <v>9</v>
      </c>
      <c r="G55" s="7"/>
    </row>
    <row r="56">
      <c r="A56" s="11">
        <v>78.0</v>
      </c>
      <c r="B56" s="6" t="s">
        <v>7</v>
      </c>
      <c r="C56" s="10" t="str">
        <f>IFERROR(__xludf.DUMMYFUNCTION("filter('Imported Challenges'!B:D,'Imported Challenges'!A:A=A56)"),"The,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D56" s="10"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E56" s="10"/>
      <c r="F56" s="7" t="s">
        <v>8</v>
      </c>
      <c r="G56" s="12"/>
    </row>
    <row r="57">
      <c r="A57" s="11">
        <v>80.0</v>
      </c>
      <c r="B57" s="6" t="s">
        <v>7</v>
      </c>
      <c r="C57" s="10" t="str">
        <f>IFERROR(__xludf.DUMMYFUNCTION("filter('Imported Challenges'!B:D,'Imported Challenges'!A:A=A57)"),"So one of the challenge from an environment point of view is to get something that students can relate to.")</f>
        <v>So one of the challenge from an environment point of view is to get something that students can relate to.</v>
      </c>
      <c r="D57" s="10" t="str">
        <f>IFERROR(__xludf.DUMMYFUNCTION("""COMPUTED_VALUE"""),"It's hard to find something students can relate to, from a environment point of view.")</f>
        <v>It's hard to find something students can relate to, from a environment point of view.</v>
      </c>
      <c r="E57" s="10"/>
      <c r="F57" s="7" t="s">
        <v>8</v>
      </c>
      <c r="G57" s="7"/>
    </row>
    <row r="58">
      <c r="A58" s="11">
        <v>81.0</v>
      </c>
      <c r="B58" s="6" t="s">
        <v>7</v>
      </c>
      <c r="C58" s="10" t="str">
        <f>IFERROR(__xludf.DUMMYFUNCTION("filter('Imported Challenges'!B:D,'Imported Challenges'!A:A=A58)"),"We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D58" s="10" t="str">
        <f>IFERROR(__xludf.DUMMYFUNCTION("""COMPUTED_VALUE"""),"There is a lack between what the industry wants from students about DevOps and what the university teaches.")</f>
        <v>There is a lack between what the industry wants from students about DevOps and what the university teaches.</v>
      </c>
      <c r="E58" s="10"/>
      <c r="F58" s="7" t="s">
        <v>9</v>
      </c>
      <c r="G58" s="7"/>
    </row>
    <row r="59">
      <c r="A59" s="11">
        <v>83.0</v>
      </c>
      <c r="B59" s="6" t="s">
        <v>7</v>
      </c>
      <c r="C59" s="10" t="str">
        <f>IFERROR(__xludf.DUMMYFUNCTION("filter('Imported Challenges'!B:D,'Imported Challenges'!A:A=A59)"),"Since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D59" s="10"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E59" s="10"/>
      <c r="F59" s="7" t="s">
        <v>9</v>
      </c>
      <c r="G59" s="12"/>
    </row>
    <row r="60">
      <c r="A60" s="11">
        <v>84.0</v>
      </c>
      <c r="B60" s="6" t="s">
        <v>7</v>
      </c>
      <c r="C60" s="10" t="str">
        <f>IFERROR(__xludf.DUMMYFUNCTION("filter('Imported Challenges'!B:D,'Imported Challenges'!A:A=A60)"),"It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D60" s="10"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E60" s="10"/>
      <c r="F60" s="7" t="s">
        <v>8</v>
      </c>
      <c r="G60" s="7"/>
    </row>
    <row r="61">
      <c r="A61" s="11">
        <v>86.0</v>
      </c>
      <c r="B61" s="6" t="s">
        <v>7</v>
      </c>
      <c r="C61" s="10" t="str">
        <f>IFERROR(__xludf.DUMMYFUNCTION("filter('Imported Challenges'!B:D,'Imported Challenges'!A:A=A61)"),"We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D61" s="10"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E61" s="10" t="str">
        <f>IFERROR(__xludf.DUMMYFUNCTION("""COMPUTED_VALUE"""),"Debugging lab sessions are very difficult.")</f>
        <v>Debugging lab sessions are very difficult.</v>
      </c>
      <c r="F61" s="7" t="s">
        <v>9</v>
      </c>
      <c r="G61" s="7"/>
    </row>
    <row r="62">
      <c r="A62" s="11">
        <v>87.0</v>
      </c>
      <c r="B62" s="6" t="s">
        <v>7</v>
      </c>
      <c r="C62" s="10" t="str">
        <f>IFERROR(__xludf.DUMMYFUNCTION("filter('Imported Challenges'!B:D,'Imported Challenges'!A:A=A62)"),"Your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D62" s="10" t="str">
        <f>IFERROR(__xludf.DUMMYFUNCTION("""COMPUTED_VALUE"""),"Bamboo continuous integration does not work with 120 students running pipeline at the same time.")</f>
        <v>Bamboo continuous integration does not work with 120 students running pipeline at the same time.</v>
      </c>
      <c r="E62" s="10"/>
      <c r="F62" s="7" t="s">
        <v>9</v>
      </c>
      <c r="G62" s="12" t="s">
        <v>14</v>
      </c>
    </row>
    <row r="63">
      <c r="A63" s="11">
        <v>90.0</v>
      </c>
      <c r="B63" s="6" t="s">
        <v>7</v>
      </c>
      <c r="C63" s="10" t="str">
        <f>IFERROR(__xludf.DUMMYFUNCTION("filter('Imported Challenges'!B:D,'Imported Challenges'!A:A=A63)"),"Like,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D63" s="10" t="str">
        <f>IFERROR(__xludf.DUMMYFUNCTION("""COMPUTED_VALUE"""),"There is no consensus if DevOps course should be mandatory or optional.")</f>
        <v>There is no consensus if DevOps course should be mandatory or optional.</v>
      </c>
      <c r="E63" s="10"/>
      <c r="F63" s="7" t="s">
        <v>9</v>
      </c>
      <c r="G63" s="7"/>
    </row>
  </sheetData>
  <dataValidations>
    <dataValidation type="list" allowBlank="1" sqref="F2:F63">
      <formula1>"yes,no"</formula1>
    </dataValidation>
  </dataValidation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2.71"/>
    <col customWidth="1" min="2" max="2" width="14.14"/>
    <col customWidth="1" min="3" max="3" width="24.43"/>
    <col customWidth="1" min="4" max="4" width="41.86"/>
    <col customWidth="1" min="5" max="5" width="41.14"/>
    <col customWidth="1" min="6" max="6" width="23.71"/>
    <col customWidth="1" min="7" max="7" width="14.43"/>
  </cols>
  <sheetData>
    <row r="1">
      <c r="A1" s="1" t="s">
        <v>0</v>
      </c>
      <c r="B1" s="1" t="s">
        <v>15</v>
      </c>
      <c r="C1" s="1" t="s">
        <v>1</v>
      </c>
      <c r="D1" s="13" t="s">
        <v>2</v>
      </c>
      <c r="E1" s="13" t="s">
        <v>3</v>
      </c>
      <c r="F1" s="13" t="s">
        <v>4</v>
      </c>
      <c r="G1" s="4" t="s">
        <v>5</v>
      </c>
    </row>
    <row r="2" ht="106.5" customHeight="1">
      <c r="A2" s="27">
        <f>IFERROR(__xludf.DUMMYFUNCTION("filter('Recommendation Specifics-Check'!A2:E186, 'Recommendation Specifics-Check'!A2:A186&lt;&gt;"""")"),1.0)</f>
        <v>1</v>
      </c>
      <c r="B2" s="27" t="str">
        <f>IFERROR(__xludf.DUMMYFUNCTION("""COMPUTED_VALUE"""),"R1 / R3")</f>
        <v>R1 / R3</v>
      </c>
      <c r="C2" s="27" t="str">
        <f>IFERROR(__xludf.DUMMYFUNCTION("""COMPUTED_VALUE"""),"recommendation")</f>
        <v>recommendation</v>
      </c>
      <c r="D2" s="27" t="str">
        <f>IFERROR(__xludf.DUMMYFUNCTION("""COMPUTED_VALUE"""),"Amazon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E2" s="27"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F2" s="27"/>
      <c r="G2" s="4" t="str">
        <f>if(RDivergenciasJuiz = "first",RDivergenciasEspecifico1,if (RDivergenciasJuiz = "second",RDivergenciasEspecifico2, if (RDivergenciasEspecifico1 = "", RDivergenciasEspecifico2, RDivergenciasEspecifico1)))</f>
        <v>no</v>
      </c>
    </row>
    <row r="3" ht="69.75" customHeight="1">
      <c r="A3" s="27">
        <f>IFERROR(__xludf.DUMMYFUNCTION("""COMPUTED_VALUE"""),2.0)</f>
        <v>2</v>
      </c>
      <c r="B3" s="27" t="str">
        <f>IFERROR(__xludf.DUMMYFUNCTION("""COMPUTED_VALUE"""),"R1 / R3")</f>
        <v>R1 / R3</v>
      </c>
      <c r="C3" s="27" t="str">
        <f>IFERROR(__xludf.DUMMYFUNCTION("""COMPUTED_VALUE"""),"recommendation")</f>
        <v>recommendation</v>
      </c>
      <c r="D3" s="27" t="str">
        <f>IFERROR(__xludf.DUMMYFUNCTION("""COMPUTED_VALUE"""),"Set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E3" s="27"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F3" s="27"/>
      <c r="G3" s="4" t="str">
        <f>if(RDivergenciasJuiz = "first",RDivergenciasEspecifico1,if (RDivergenciasJuiz = "second",RDivergenciasEspecifico2, if (RDivergenciasEspecifico1 = "", RDivergenciasEspecifico2, RDivergenciasEspecifico1)))</f>
        <v>no</v>
      </c>
    </row>
    <row r="4" ht="115.5" customHeight="1">
      <c r="A4" s="27">
        <f>IFERROR(__xludf.DUMMYFUNCTION("""COMPUTED_VALUE"""),4.0)</f>
        <v>4</v>
      </c>
      <c r="B4" s="27" t="str">
        <f>IFERROR(__xludf.DUMMYFUNCTION("""COMPUTED_VALUE"""),"R1 / R3")</f>
        <v>R1 / R3</v>
      </c>
      <c r="C4" s="27" t="str">
        <f>IFERROR(__xludf.DUMMYFUNCTION("""COMPUTED_VALUE"""),"recommendation")</f>
        <v>recommendation</v>
      </c>
      <c r="D4" s="27" t="str">
        <f>IFERROR(__xludf.DUMMYFUNCTION("""COMPUTED_VALUE"""),"This was somehow harmonized.")</f>
        <v>This was somehow harmonized.</v>
      </c>
      <c r="E4" s="27" t="str">
        <f>IFERROR(__xludf.DUMMYFUNCTION("""COMPUTED_VALUE"""),"Define what are the devops concepts.")</f>
        <v>Define what are the devops concepts.</v>
      </c>
      <c r="F4" s="27"/>
      <c r="G4" s="4" t="str">
        <f>if(RDivergenciasJuiz = "first",RDivergenciasEspecifico1,if (RDivergenciasJuiz = "second",RDivergenciasEspecifico2, if (RDivergenciasEspecifico1 = "", RDivergenciasEspecifico2, RDivergenciasEspecifico1)))</f>
        <v>yes</v>
      </c>
    </row>
    <row r="5" ht="134.25" customHeight="1">
      <c r="A5" s="27">
        <f>IFERROR(__xludf.DUMMYFUNCTION("""COMPUTED_VALUE"""),5.0)</f>
        <v>5</v>
      </c>
      <c r="B5" s="27" t="str">
        <f>IFERROR(__xludf.DUMMYFUNCTION("""COMPUTED_VALUE"""),"R1 / R3")</f>
        <v>R1 / R3</v>
      </c>
      <c r="C5" s="27" t="str">
        <f>IFERROR(__xludf.DUMMYFUNCTION("""COMPUTED_VALUE"""),"recommendation")</f>
        <v>recommendation</v>
      </c>
      <c r="D5" s="27" t="str">
        <f>IFERROR(__xludf.DUMMYFUNCTION("""COMPUTED_VALUE"""),"You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E5" s="27"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F5" s="27"/>
      <c r="G5" s="4" t="str">
        <f>if(RDivergenciasJuiz = "first",RDivergenciasEspecifico1,if (RDivergenciasJuiz = "second",RDivergenciasEspecifico2, if (RDivergenciasEspecifico1 = "", RDivergenciasEspecifico2, RDivergenciasEspecifico1)))</f>
        <v>yes</v>
      </c>
    </row>
    <row r="6" ht="221.25" customHeight="1">
      <c r="A6" s="27">
        <f>IFERROR(__xludf.DUMMYFUNCTION("""COMPUTED_VALUE"""),7.0)</f>
        <v>7</v>
      </c>
      <c r="B6" s="27" t="str">
        <f>IFERROR(__xludf.DUMMYFUNCTION("""COMPUTED_VALUE"""),"R1 / R3")</f>
        <v>R1 / R3</v>
      </c>
      <c r="C6" s="27" t="str">
        <f>IFERROR(__xludf.DUMMYFUNCTION("""COMPUTED_VALUE"""),"recommendation")</f>
        <v>recommendation</v>
      </c>
      <c r="D6" s="27" t="str">
        <f>IFERROR(__xludf.DUMMYFUNCTION("""COMPUTED_VALUE"""),"I think a potential candidate is GNS3.")</f>
        <v>I think a potential candidate is GNS3.</v>
      </c>
      <c r="E6" s="27" t="str">
        <f>IFERROR(__xludf.DUMMYFUNCTION("""COMPUTED_VALUE"""),"The GNS3 tool is a potential candidate as a tool for teaching DevOps.")</f>
        <v>The GNS3 tool is a potential candidate as a tool for teaching DevOps.</v>
      </c>
      <c r="F6" s="27"/>
      <c r="G6" s="4" t="str">
        <f>if(RDivergenciasJuiz = "first",RDivergenciasEspecifico1,if (RDivergenciasJuiz = "second",RDivergenciasEspecifico2, if (RDivergenciasEspecifico1 = "", RDivergenciasEspecifico2, RDivergenciasEspecifico1)))</f>
        <v>yes</v>
      </c>
    </row>
    <row r="7" ht="134.25" customHeight="1">
      <c r="A7" s="27">
        <f>IFERROR(__xludf.DUMMYFUNCTION("""COMPUTED_VALUE"""),8.0)</f>
        <v>8</v>
      </c>
      <c r="B7" s="27" t="str">
        <f>IFERROR(__xludf.DUMMYFUNCTION("""COMPUTED_VALUE"""),"R1 / R3")</f>
        <v>R1 / R3</v>
      </c>
      <c r="C7" s="27" t="str">
        <f>IFERROR(__xludf.DUMMYFUNCTION("""COMPUTED_VALUE"""),"recommendation")</f>
        <v>recommendation</v>
      </c>
      <c r="D7" s="27" t="str">
        <f>IFERROR(__xludf.DUMMYFUNCTION("""COMPUTED_VALUE"""),"All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E7" s="27" t="str">
        <f>IFERROR(__xludf.DUMMYFUNCTION("""COMPUTED_VALUE"""),"Ansible as deployment automation tools can be used in teaching DevOps.")</f>
        <v>Ansible as deployment automation tools can be used in teaching DevOps.</v>
      </c>
      <c r="F7" s="27"/>
      <c r="G7" s="4" t="str">
        <f>if(RDivergenciasJuiz = "first",RDivergenciasEspecifico1,if (RDivergenciasJuiz = "second",RDivergenciasEspecifico2, if (RDivergenciasEspecifico1 = "", RDivergenciasEspecifico2, RDivergenciasEspecifico1)))</f>
        <v>yes</v>
      </c>
    </row>
    <row r="8" ht="134.25" customHeight="1">
      <c r="A8" s="27">
        <f>IFERROR(__xludf.DUMMYFUNCTION("""COMPUTED_VALUE"""),9.0)</f>
        <v>9</v>
      </c>
      <c r="B8" s="27" t="str">
        <f>IFERROR(__xludf.DUMMYFUNCTION("""COMPUTED_VALUE"""),"R1 / R3")</f>
        <v>R1 / R3</v>
      </c>
      <c r="C8" s="27" t="str">
        <f>IFERROR(__xludf.DUMMYFUNCTION("""COMPUTED_VALUE"""),"recommendation")</f>
        <v>recommendation</v>
      </c>
      <c r="D8" s="27" t="str">
        <f>IFERROR(__xludf.DUMMYFUNCTION("""COMPUTED_VALUE"""),"For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E8" s="27"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F8" s="27"/>
      <c r="G8" s="4" t="str">
        <f>if(RDivergenciasJuiz = "first",RDivergenciasEspecifico1,if (RDivergenciasJuiz = "second",RDivergenciasEspecifico2, if (RDivergenciasEspecifico1 = "", RDivergenciasEspecifico2, RDivergenciasEspecifico1)))</f>
        <v>no</v>
      </c>
    </row>
    <row r="9" ht="123.75" customHeight="1">
      <c r="A9" s="27">
        <f>IFERROR(__xludf.DUMMYFUNCTION("""COMPUTED_VALUE"""),10.0)</f>
        <v>10</v>
      </c>
      <c r="B9" s="27" t="str">
        <f>IFERROR(__xludf.DUMMYFUNCTION("""COMPUTED_VALUE"""),"R1 / R3")</f>
        <v>R1 / R3</v>
      </c>
      <c r="C9" s="27" t="str">
        <f>IFERROR(__xludf.DUMMYFUNCTION("""COMPUTED_VALUE"""),"recommendation")</f>
        <v>recommendation</v>
      </c>
      <c r="D9" s="27" t="str">
        <f>IFERROR(__xludf.DUMMYFUNCTION("""COMPUTED_VALUE"""),"The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E9" s="27"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F9" s="27"/>
      <c r="G9" s="4" t="str">
        <f>if(RDivergenciasJuiz = "first",RDivergenciasEspecifico1,if (RDivergenciasJuiz = "second",RDivergenciasEspecifico2, if (RDivergenciasEspecifico1 = "", RDivergenciasEspecifico2, RDivergenciasEspecifico1)))</f>
        <v>yes</v>
      </c>
    </row>
    <row r="10" ht="123.75" customHeight="1">
      <c r="A10" s="27">
        <f>IFERROR(__xludf.DUMMYFUNCTION("""COMPUTED_VALUE"""),11.0)</f>
        <v>11</v>
      </c>
      <c r="B10" s="27" t="str">
        <f>IFERROR(__xludf.DUMMYFUNCTION("""COMPUTED_VALUE"""),"R1 / R3")</f>
        <v>R1 / R3</v>
      </c>
      <c r="C10" s="27" t="str">
        <f>IFERROR(__xludf.DUMMYFUNCTION("""COMPUTED_VALUE"""),"recommendation")</f>
        <v>recommendation</v>
      </c>
      <c r="D10" s="27" t="str">
        <f>IFERROR(__xludf.DUMMYFUNCTION("""COMPUTED_VALUE"""),"The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E10" s="27"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F10" s="27"/>
      <c r="G10" s="4" t="str">
        <f>if(RDivergenciasJuiz = "first",RDivergenciasEspecifico1,if (RDivergenciasJuiz = "second",RDivergenciasEspecifico2, if (RDivergenciasEspecifico1 = "", RDivergenciasEspecifico2, RDivergenciasEspecifico1)))</f>
        <v>yes</v>
      </c>
    </row>
    <row r="11" ht="123.75" customHeight="1">
      <c r="A11" s="27">
        <f>IFERROR(__xludf.DUMMYFUNCTION("""COMPUTED_VALUE"""),12.0)</f>
        <v>12</v>
      </c>
      <c r="B11" s="27" t="str">
        <f>IFERROR(__xludf.DUMMYFUNCTION("""COMPUTED_VALUE"""),"R1 / R3")</f>
        <v>R1 / R3</v>
      </c>
      <c r="C11" s="27" t="str">
        <f>IFERROR(__xludf.DUMMYFUNCTION("""COMPUTED_VALUE"""),"recommendation")</f>
        <v>recommendation</v>
      </c>
      <c r="D11" s="27" t="str">
        <f>IFERROR(__xludf.DUMMYFUNCTION("""COMPUTED_VALUE"""),"I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E11" s="27"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F11" s="27"/>
      <c r="G11" s="4" t="str">
        <f>if(RDivergenciasJuiz = "first",RDivergenciasEspecifico1,if (RDivergenciasJuiz = "second",RDivergenciasEspecifico2, if (RDivergenciasEspecifico1 = "", RDivergenciasEspecifico2, RDivergenciasEspecifico1)))</f>
        <v>no</v>
      </c>
    </row>
    <row r="12">
      <c r="A12" s="27">
        <f>IFERROR(__xludf.DUMMYFUNCTION("""COMPUTED_VALUE"""),13.0)</f>
        <v>13</v>
      </c>
      <c r="B12" s="27" t="str">
        <f>IFERROR(__xludf.DUMMYFUNCTION("""COMPUTED_VALUE"""),"R1 / R3")</f>
        <v>R1 / R3</v>
      </c>
      <c r="C12" s="27" t="str">
        <f>IFERROR(__xludf.DUMMYFUNCTION("""COMPUTED_VALUE"""),"recommendation")</f>
        <v>recommendation</v>
      </c>
      <c r="D12" s="27" t="str">
        <f>IFERROR(__xludf.DUMMYFUNCTION("""COMPUTED_VALUE"""),"I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E12" s="27"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F12" s="27"/>
      <c r="G12" s="4" t="str">
        <f>if(RDivergenciasJuiz = "first",RDivergenciasEspecifico1,if (RDivergenciasJuiz = "second",RDivergenciasEspecifico2, if (RDivergenciasEspecifico1 = "", RDivergenciasEspecifico2, RDivergenciasEspecifico1)))</f>
        <v>no</v>
      </c>
    </row>
    <row r="13">
      <c r="A13" s="27">
        <f>IFERROR(__xludf.DUMMYFUNCTION("""COMPUTED_VALUE"""),14.0)</f>
        <v>14</v>
      </c>
      <c r="B13" s="27" t="str">
        <f>IFERROR(__xludf.DUMMYFUNCTION("""COMPUTED_VALUE"""),"R1 / R3")</f>
        <v>R1 / R3</v>
      </c>
      <c r="C13" s="27" t="str">
        <f>IFERROR(__xludf.DUMMYFUNCTION("""COMPUTED_VALUE"""),"recommendation")</f>
        <v>recommendation</v>
      </c>
      <c r="D13" s="27" t="str">
        <f>IFERROR(__xludf.DUMMYFUNCTION("""COMPUTED_VALUE"""),"There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E13" s="27" t="str">
        <f>IFERROR(__xludf.DUMMYFUNCTION("""COMPUTED_VALUE"""),"Work on improving students' skills related to non-functional requirements.")</f>
        <v>Work on improving students' skills related to non-functional requirements.</v>
      </c>
      <c r="F13" s="27"/>
      <c r="G13" s="4" t="str">
        <f>if(RDivergenciasJuiz = "first",RDivergenciasEspecifico1,if (RDivergenciasJuiz = "second",RDivergenciasEspecifico2, if (RDivergenciasEspecifico1 = "", RDivergenciasEspecifico2, RDivergenciasEspecifico1)))</f>
        <v>no</v>
      </c>
    </row>
    <row r="14">
      <c r="A14" s="27">
        <f>IFERROR(__xludf.DUMMYFUNCTION("""COMPUTED_VALUE"""),15.0)</f>
        <v>15</v>
      </c>
      <c r="B14" s="27" t="str">
        <f>IFERROR(__xludf.DUMMYFUNCTION("""COMPUTED_VALUE"""),"R1 / R3")</f>
        <v>R1 / R3</v>
      </c>
      <c r="C14" s="27" t="str">
        <f>IFERROR(__xludf.DUMMYFUNCTION("""COMPUTED_VALUE"""),"recommendation")</f>
        <v>recommendation</v>
      </c>
      <c r="D14" s="27" t="str">
        <f>IFERROR(__xludf.DUMMYFUNCTION("""COMPUTED_VALUE"""),"The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E14" s="27"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F14" s="27"/>
      <c r="G14" s="4" t="str">
        <f>if(RDivergenciasJuiz = "first",RDivergenciasEspecifico1,if (RDivergenciasJuiz = "second",RDivergenciasEspecifico2, if (RDivergenciasEspecifico1 = "", RDivergenciasEspecifico2, RDivergenciasEspecifico1)))</f>
        <v>yes</v>
      </c>
    </row>
    <row r="15">
      <c r="A15" s="27">
        <f>IFERROR(__xludf.DUMMYFUNCTION("""COMPUTED_VALUE"""),16.0)</f>
        <v>16</v>
      </c>
      <c r="B15" s="27" t="str">
        <f>IFERROR(__xludf.DUMMYFUNCTION("""COMPUTED_VALUE"""),"R1 / R2")</f>
        <v>R1 / R2</v>
      </c>
      <c r="C15" s="27" t="str">
        <f>IFERROR(__xludf.DUMMYFUNCTION("""COMPUTED_VALUE"""),"recommendation")</f>
        <v>recommendation</v>
      </c>
      <c r="D15" s="27" t="str">
        <f>IFERROR(__xludf.DUMMYFUNCTION("""COMPUTED_VALUE"""),"The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E15" s="27"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F15" s="27"/>
      <c r="G15" s="4" t="str">
        <f>if(RDivergenciasJuiz = "first",RDivergenciasEspecifico1,if (RDivergenciasJuiz = "second",RDivergenciasEspecifico2, if (RDivergenciasEspecifico1 = "", RDivergenciasEspecifico2, RDivergenciasEspecifico1)))</f>
        <v>yes</v>
      </c>
    </row>
    <row r="16">
      <c r="A16" s="27">
        <f>IFERROR(__xludf.DUMMYFUNCTION("""COMPUTED_VALUE"""),17.0)</f>
        <v>17</v>
      </c>
      <c r="B16" s="27" t="str">
        <f>IFERROR(__xludf.DUMMYFUNCTION("""COMPUTED_VALUE"""),"R1 / R3")</f>
        <v>R1 / R3</v>
      </c>
      <c r="C16" s="27" t="str">
        <f>IFERROR(__xludf.DUMMYFUNCTION("""COMPUTED_VALUE"""),"recommendation")</f>
        <v>recommendation</v>
      </c>
      <c r="D16" s="27" t="str">
        <f>IFERROR(__xludf.DUMMYFUNCTION("""COMPUTED_VALUE"""),"We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E16" s="27"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F16" s="27"/>
      <c r="G16" s="4" t="str">
        <f>if(RDivergenciasJuiz = "first",RDivergenciasEspecifico1,if (RDivergenciasJuiz = "second",RDivergenciasEspecifico2, if (RDivergenciasEspecifico1 = "", RDivergenciasEspecifico2, RDivergenciasEspecifico1)))</f>
        <v>no</v>
      </c>
    </row>
    <row r="17">
      <c r="A17" s="27">
        <f>IFERROR(__xludf.DUMMYFUNCTION("""COMPUTED_VALUE"""),18.0)</f>
        <v>18</v>
      </c>
      <c r="B17" s="27" t="str">
        <f>IFERROR(__xludf.DUMMYFUNCTION("""COMPUTED_VALUE"""),"R2 / R3")</f>
        <v>R2 / R3</v>
      </c>
      <c r="C17" s="27" t="str">
        <f>IFERROR(__xludf.DUMMYFUNCTION("""COMPUTED_VALUE"""),"recommendation")</f>
        <v>recommendation</v>
      </c>
      <c r="D17" s="27" t="str">
        <f>IFERROR(__xludf.DUMMYFUNCTION("""COMPUTED_VALUE"""),"We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E17" s="27" t="str">
        <f>IFERROR(__xludf.DUMMYFUNCTION("""COMPUTED_VALUE"""),"Monitoring of students through activities in a learning support environment.")</f>
        <v>Monitoring of students through activities in a learning support environment.</v>
      </c>
      <c r="F17" s="27"/>
      <c r="G17" s="4" t="str">
        <f>if(RDivergenciasJuiz = "first",RDivergenciasEspecifico1,if (RDivergenciasJuiz = "second",RDivergenciasEspecifico2, if (RDivergenciasEspecifico1 = "", RDivergenciasEspecifico2, RDivergenciasEspecifico1)))</f>
        <v>no</v>
      </c>
    </row>
    <row r="18">
      <c r="A18" s="27">
        <f>IFERROR(__xludf.DUMMYFUNCTION("""COMPUTED_VALUE"""),19.0)</f>
        <v>19</v>
      </c>
      <c r="B18" s="27" t="str">
        <f>IFERROR(__xludf.DUMMYFUNCTION("""COMPUTED_VALUE"""),"R1 / R2")</f>
        <v>R1 / R2</v>
      </c>
      <c r="C18" s="27" t="str">
        <f>IFERROR(__xludf.DUMMYFUNCTION("""COMPUTED_VALUE"""),"recommendation")</f>
        <v>recommendation</v>
      </c>
      <c r="D18" s="27" t="str">
        <f>IFERROR(__xludf.DUMMYFUNCTION("""COMPUTED_VALUE"""),"Usually,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E18" s="27" t="str">
        <f>IFERROR(__xludf.DUMMYFUNCTION("""COMPUTED_VALUE"""),"Ask students to adopt the tools used by instructors.")</f>
        <v>Ask students to adopt the tools used by instructors.</v>
      </c>
      <c r="F18" s="27"/>
      <c r="G18" s="4" t="str">
        <f>if(RDivergenciasJuiz = "first",RDivergenciasEspecifico1,if (RDivergenciasJuiz = "second",RDivergenciasEspecifico2, if (RDivergenciasEspecifico1 = "", RDivergenciasEspecifico2, RDivergenciasEspecifico1)))</f>
        <v>no</v>
      </c>
    </row>
    <row r="19">
      <c r="A19" s="27">
        <f>IFERROR(__xludf.DUMMYFUNCTION("""COMPUTED_VALUE"""),20.0)</f>
        <v>20</v>
      </c>
      <c r="B19" s="27" t="str">
        <f>IFERROR(__xludf.DUMMYFUNCTION("""COMPUTED_VALUE"""),"R1 / R3")</f>
        <v>R1 / R3</v>
      </c>
      <c r="C19" s="27" t="str">
        <f>IFERROR(__xludf.DUMMYFUNCTION("""COMPUTED_VALUE"""),"recommendation")</f>
        <v>recommendation</v>
      </c>
      <c r="D19" s="27" t="str">
        <f>IFERROR(__xludf.DUMMYFUNCTION("""COMPUTED_VALUE"""),"Suppose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E19" s="27"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F19" s="27"/>
      <c r="G19" s="4" t="str">
        <f>if(RDivergenciasJuiz = "first",RDivergenciasEspecifico1,if (RDivergenciasJuiz = "second",RDivergenciasEspecifico2, if (RDivergenciasEspecifico1 = "", RDivergenciasEspecifico2, RDivergenciasEspecifico1)))</f>
        <v>yes</v>
      </c>
    </row>
    <row r="20">
      <c r="A20" s="27">
        <f>IFERROR(__xludf.DUMMYFUNCTION("""COMPUTED_VALUE"""),21.0)</f>
        <v>21</v>
      </c>
      <c r="B20" s="27" t="str">
        <f>IFERROR(__xludf.DUMMYFUNCTION("""COMPUTED_VALUE"""),"R2 / R3")</f>
        <v>R2 / R3</v>
      </c>
      <c r="C20" s="27" t="str">
        <f>IFERROR(__xludf.DUMMYFUNCTION("""COMPUTED_VALUE"""),"recommendation")</f>
        <v>recommendation</v>
      </c>
      <c r="D20" s="27" t="str">
        <f>IFERROR(__xludf.DUMMYFUNCTION("""COMPUTED_VALUE"""),"They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E20" s="27"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F20" s="27"/>
      <c r="G20" s="4" t="str">
        <f>if(RDivergenciasJuiz = "first",RDivergenciasEspecifico1,if (RDivergenciasJuiz = "second",RDivergenciasEspecifico2, if (RDivergenciasEspecifico1 = "", RDivergenciasEspecifico2, RDivergenciasEspecifico1)))</f>
        <v>no</v>
      </c>
    </row>
    <row r="21">
      <c r="A21" s="27">
        <f>IFERROR(__xludf.DUMMYFUNCTION("""COMPUTED_VALUE"""),22.0)</f>
        <v>22</v>
      </c>
      <c r="B21" s="27" t="str">
        <f>IFERROR(__xludf.DUMMYFUNCTION("""COMPUTED_VALUE"""),"R1 / R2")</f>
        <v>R1 / R2</v>
      </c>
      <c r="C21" s="27" t="str">
        <f>IFERROR(__xludf.DUMMYFUNCTION("""COMPUTED_VALUE"""),"recommendation")</f>
        <v>recommendation</v>
      </c>
      <c r="D21" s="27" t="str">
        <f>IFERROR(__xludf.DUMMYFUNCTION("""COMPUTED_VALUE"""),"They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E21" s="27" t="str">
        <f>IFERROR(__xludf.DUMMYFUNCTION("""COMPUTED_VALUE"""),"Adopt a more professional approach in which teachers act as clients.")</f>
        <v>Adopt a more professional approach in which teachers act as clients.</v>
      </c>
      <c r="F21" s="27"/>
      <c r="G21" s="4" t="str">
        <f>if(RDivergenciasJuiz = "first",RDivergenciasEspecifico1,if (RDivergenciasJuiz = "second",RDivergenciasEspecifico2, if (RDivergenciasEspecifico1 = "", RDivergenciasEspecifico2, RDivergenciasEspecifico1)))</f>
        <v>no</v>
      </c>
    </row>
    <row r="22">
      <c r="A22" s="27">
        <f>IFERROR(__xludf.DUMMYFUNCTION("""COMPUTED_VALUE"""),23.0)</f>
        <v>23</v>
      </c>
      <c r="B22" s="27" t="str">
        <f>IFERROR(__xludf.DUMMYFUNCTION("""COMPUTED_VALUE"""),"R1 / R3")</f>
        <v>R1 / R3</v>
      </c>
      <c r="C22" s="27" t="str">
        <f>IFERROR(__xludf.DUMMYFUNCTION("""COMPUTED_VALUE"""),"recommendation")</f>
        <v>recommendation</v>
      </c>
      <c r="D22" s="27" t="str">
        <f>IFERROR(__xludf.DUMMYFUNCTION("""COMPUTED_VALUE"""),"The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E22" s="27" t="str">
        <f>IFERROR(__xludf.DUMMYFUNCTION("""COMPUTED_VALUE"""),"The Continuous Integration and industry tools must be in the curricula.")</f>
        <v>The Continuous Integration and industry tools must be in the curricula.</v>
      </c>
      <c r="F22" s="27"/>
      <c r="G22" s="4" t="str">
        <f>if(RDivergenciasJuiz = "first",RDivergenciasEspecifico1,if (RDivergenciasJuiz = "second",RDivergenciasEspecifico2, if (RDivergenciasEspecifico1 = "", RDivergenciasEspecifico2, RDivergenciasEspecifico1)))</f>
        <v>yes</v>
      </c>
    </row>
    <row r="23">
      <c r="A23" s="27">
        <f>IFERROR(__xludf.DUMMYFUNCTION("""COMPUTED_VALUE"""),24.0)</f>
        <v>24</v>
      </c>
      <c r="B23" s="27" t="str">
        <f>IFERROR(__xludf.DUMMYFUNCTION("""COMPUTED_VALUE"""),"R1 / R2")</f>
        <v>R1 / R2</v>
      </c>
      <c r="C23" s="27" t="str">
        <f>IFERROR(__xludf.DUMMYFUNCTION("""COMPUTED_VALUE"""),"recommendation")</f>
        <v>recommendation</v>
      </c>
      <c r="D23" s="27" t="str">
        <f>IFERROR(__xludf.DUMMYFUNCTION("""COMPUTED_VALUE"""),"But as there isn't, we find different materials; we have several publications.")</f>
        <v>But as there isn't, we find different materials; we have several publications.</v>
      </c>
      <c r="E23" s="27"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F23" s="27"/>
      <c r="G23" s="4" t="str">
        <f>if(RDivergenciasJuiz = "first",RDivergenciasEspecifico1,if (RDivergenciasJuiz = "second",RDivergenciasEspecifico2, if (RDivergenciasEspecifico1 = "", RDivergenciasEspecifico2, RDivergenciasEspecifico1)))</f>
        <v>no</v>
      </c>
    </row>
    <row r="24">
      <c r="A24" s="27">
        <f>IFERROR(__xludf.DUMMYFUNCTION("""COMPUTED_VALUE"""),25.0)</f>
        <v>25</v>
      </c>
      <c r="B24" s="27" t="str">
        <f>IFERROR(__xludf.DUMMYFUNCTION("""COMPUTED_VALUE"""),"R1 / R2")</f>
        <v>R1 / R2</v>
      </c>
      <c r="C24" s="27" t="str">
        <f>IFERROR(__xludf.DUMMYFUNCTION("""COMPUTED_VALUE"""),"recommendation")</f>
        <v>recommendation</v>
      </c>
      <c r="D24" s="27" t="str">
        <f>IFERROR(__xludf.DUMMYFUNCTION("""COMPUTED_VALUE"""),"[...]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E24" s="27"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F24" s="27"/>
      <c r="G24" s="4" t="str">
        <f>if(RDivergenciasJuiz = "first",RDivergenciasEspecifico1,if (RDivergenciasJuiz = "second",RDivergenciasEspecifico2, if (RDivergenciasEspecifico1 = "", RDivergenciasEspecifico2, RDivergenciasEspecifico1)))</f>
        <v>no</v>
      </c>
    </row>
    <row r="25">
      <c r="A25" s="27">
        <f>IFERROR(__xludf.DUMMYFUNCTION("""COMPUTED_VALUE"""),26.0)</f>
        <v>26</v>
      </c>
      <c r="B25" s="27" t="str">
        <f>IFERROR(__xludf.DUMMYFUNCTION("""COMPUTED_VALUE"""),"R1 / R3")</f>
        <v>R1 / R3</v>
      </c>
      <c r="C25" s="27" t="str">
        <f>IFERROR(__xludf.DUMMYFUNCTION("""COMPUTED_VALUE"""),"recommendation")</f>
        <v>recommendation</v>
      </c>
      <c r="D25" s="27" t="str">
        <f>IFERROR(__xludf.DUMMYFUNCTION("""COMPUTED_VALUE"""),"The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E25" s="27" t="str">
        <f>IFERROR(__xludf.DUMMYFUNCTION("""COMPUTED_VALUE"""),"You can use the same discipline of DevOps for operation groups focused on safety and development groups.")</f>
        <v>You can use the same discipline of DevOps for operation groups focused on safety and development groups.</v>
      </c>
      <c r="F25" s="27"/>
      <c r="G25" s="4" t="str">
        <f>if(RDivergenciasJuiz = "first",RDivergenciasEspecifico1,if (RDivergenciasJuiz = "second",RDivergenciasEspecifico2, if (RDivergenciasEspecifico1 = "", RDivergenciasEspecifico2, RDivergenciasEspecifico1)))</f>
        <v>yes</v>
      </c>
    </row>
    <row r="26">
      <c r="A26" s="27">
        <f>IFERROR(__xludf.DUMMYFUNCTION("""COMPUTED_VALUE"""),27.0)</f>
        <v>27</v>
      </c>
      <c r="B26" s="27" t="str">
        <f>IFERROR(__xludf.DUMMYFUNCTION("""COMPUTED_VALUE"""),"R2 / R3")</f>
        <v>R2 / R3</v>
      </c>
      <c r="C26" s="27" t="str">
        <f>IFERROR(__xludf.DUMMYFUNCTION("""COMPUTED_VALUE"""),"recommendation")</f>
        <v>recommendation</v>
      </c>
      <c r="D26" s="27" t="str">
        <f>IFERROR(__xludf.DUMMYFUNCTION("""COMPUTED_VALUE"""),"In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E26" s="27" t="str">
        <f>IFERROR(__xludf.DUMMYFUNCTION("""COMPUTED_VALUE"""),"Teach the part of cloud vulnerability, architecture, and network management to the security classes in DevOps.")</f>
        <v>Teach the part of cloud vulnerability, architecture, and network management to the security classes in DevOps.</v>
      </c>
      <c r="F26" s="27"/>
      <c r="G26" s="4" t="str">
        <f>if(RDivergenciasJuiz = "first",RDivergenciasEspecifico1,if (RDivergenciasJuiz = "second",RDivergenciasEspecifico2, if (RDivergenciasEspecifico1 = "", RDivergenciasEspecifico2, RDivergenciasEspecifico1)))</f>
        <v>yes</v>
      </c>
    </row>
    <row r="27">
      <c r="A27" s="27">
        <f>IFERROR(__xludf.DUMMYFUNCTION("""COMPUTED_VALUE"""),29.0)</f>
        <v>29</v>
      </c>
      <c r="B27" s="27" t="str">
        <f>IFERROR(__xludf.DUMMYFUNCTION("""COMPUTED_VALUE"""),"R1 / R3")</f>
        <v>R1 / R3</v>
      </c>
      <c r="C27" s="27" t="str">
        <f>IFERROR(__xludf.DUMMYFUNCTION("""COMPUTED_VALUE"""),"recommendation")</f>
        <v>recommendation</v>
      </c>
      <c r="D27" s="27" t="str">
        <f>IFERROR(__xludf.DUMMYFUNCTION("""COMPUTED_VALUE"""),"The recommendation is to understand the learning context of the class.
Adapt the menu according to the student profile you have.")</f>
        <v>The recommendation is to understand the learning context of the class.
Adapt the menu according to the student profile you have.</v>
      </c>
      <c r="E27" s="27" t="str">
        <f>IFERROR(__xludf.DUMMYFUNCTION("""COMPUTED_VALUE"""),"Identify the most compatible DevOps scope for each class.
Adapt the course according to the profile of students.")</f>
        <v>Identify the most compatible DevOps scope for each class.
Adapt the course according to the profile of students.</v>
      </c>
      <c r="F27" s="27"/>
      <c r="G27" s="4" t="str">
        <f>if(RDivergenciasJuiz = "first",RDivergenciasEspecifico1,if (RDivergenciasJuiz = "second",RDivergenciasEspecifico2, if (RDivergenciasEspecifico1 = "", RDivergenciasEspecifico2, RDivergenciasEspecifico1)))</f>
        <v>yes</v>
      </c>
    </row>
    <row r="28" ht="18.0" customHeight="1">
      <c r="A28" s="27">
        <f>IFERROR(__xludf.DUMMYFUNCTION("""COMPUTED_VALUE"""),30.0)</f>
        <v>30</v>
      </c>
      <c r="B28" s="27" t="str">
        <f>IFERROR(__xludf.DUMMYFUNCTION("""COMPUTED_VALUE"""),"R2 / R3")</f>
        <v>R2 / R3</v>
      </c>
      <c r="C28" s="27" t="str">
        <f>IFERROR(__xludf.DUMMYFUNCTION("""COMPUTED_VALUE"""),"recommendation")</f>
        <v>recommendation</v>
      </c>
      <c r="D28" s="28" t="str">
        <f>IFERROR(__xludf.DUMMYFUNCTION("""COMPUTED_VALUE"""),"Having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E28" s="27"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F28" s="27"/>
      <c r="G28" s="4" t="str">
        <f>if(RDivergenciasJuiz = "first",RDivergenciasEspecifico1,if (RDivergenciasJuiz = "second",RDivergenciasEspecifico2, if (RDivergenciasEspecifico1 = "", RDivergenciasEspecifico2, RDivergenciasEspecifico1)))</f>
        <v>no</v>
      </c>
    </row>
    <row r="29">
      <c r="A29" s="27">
        <f>IFERROR(__xludf.DUMMYFUNCTION("""COMPUTED_VALUE"""),32.0)</f>
        <v>32</v>
      </c>
      <c r="B29" s="27" t="str">
        <f>IFERROR(__xludf.DUMMYFUNCTION("""COMPUTED_VALUE"""),"R1 / R3")</f>
        <v>R1 / R3</v>
      </c>
      <c r="C29" s="27" t="str">
        <f>IFERROR(__xludf.DUMMYFUNCTION("""COMPUTED_VALUE"""),"recommendation")</f>
        <v>recommendation</v>
      </c>
      <c r="D29" s="27" t="str">
        <f>IFERROR(__xludf.DUMMYFUNCTION("""COMPUTED_VALUE"""),"Present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E29" s="27"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F29" s="27"/>
      <c r="G29" s="4" t="str">
        <f>if(RDivergenciasJuiz = "first",RDivergenciasEspecifico1,if (RDivergenciasJuiz = "second",RDivergenciasEspecifico2, if (RDivergenciasEspecifico1 = "", RDivergenciasEspecifico2, RDivergenciasEspecifico1)))</f>
        <v>yes</v>
      </c>
    </row>
    <row r="30">
      <c r="A30" s="27">
        <f>IFERROR(__xludf.DUMMYFUNCTION("""COMPUTED_VALUE"""),33.0)</f>
        <v>33</v>
      </c>
      <c r="B30" s="27" t="str">
        <f>IFERROR(__xludf.DUMMYFUNCTION("""COMPUTED_VALUE"""),"R2 / R3")</f>
        <v>R2 / R3</v>
      </c>
      <c r="C30" s="27" t="str">
        <f>IFERROR(__xludf.DUMMYFUNCTION("""COMPUTED_VALUE"""),"recommendation")</f>
        <v>recommendation</v>
      </c>
      <c r="D30" s="27" t="str">
        <f>IFERROR(__xludf.DUMMYFUNCTION("""COMPUTED_VALUE"""),"Present [...] cases on how this translates, [...] eliminating the silos between operations and development.")</f>
        <v>Present [...] cases on how this translates, [...] eliminating the silos between operations and development.</v>
      </c>
      <c r="E30" s="27"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F30" s="27"/>
      <c r="G30" s="4" t="str">
        <f>if(RDivergenciasJuiz = "first",RDivergenciasEspecifico1,if (RDivergenciasJuiz = "second",RDivergenciasEspecifico2, if (RDivergenciasEspecifico1 = "", RDivergenciasEspecifico2, RDivergenciasEspecifico1)))</f>
        <v>yes</v>
      </c>
    </row>
    <row r="31">
      <c r="A31" s="27">
        <f>IFERROR(__xludf.DUMMYFUNCTION("""COMPUTED_VALUE"""),34.0)</f>
        <v>34</v>
      </c>
      <c r="B31" s="27" t="str">
        <f>IFERROR(__xludf.DUMMYFUNCTION("""COMPUTED_VALUE"""),"R1 / R2")</f>
        <v>R1 / R2</v>
      </c>
      <c r="C31" s="27" t="str">
        <f>IFERROR(__xludf.DUMMYFUNCTION("""COMPUTED_VALUE"""),"recommendation")</f>
        <v>recommendation</v>
      </c>
      <c r="D31" s="29" t="str">
        <f>IFERROR(__xludf.DUMMYFUNCTION("""COMPUTED_VALUE"""),"Always start with culture before moving on to teaching or tool-based demonstration.")</f>
        <v>Always start with culture before moving on to teaching or tool-based demonstration.</v>
      </c>
      <c r="E31" s="25" t="str">
        <f>IFERROR(__xludf.DUMMYFUNCTION("""COMPUTED_VALUE"""),"Start teaching DevOps from the culture. Only then demonstrate with tools.")</f>
        <v>Start teaching DevOps from the culture. Only then demonstrate with tools.</v>
      </c>
      <c r="F31" s="27"/>
      <c r="G31" s="4" t="str">
        <f>if(RDivergenciasJuiz = "first",RDivergenciasEspecifico1,if (RDivergenciasJuiz = "second",RDivergenciasEspecifico2, if (RDivergenciasEspecifico1 = "", RDivergenciasEspecifico2, RDivergenciasEspecifico1)))</f>
        <v>yes</v>
      </c>
    </row>
    <row r="32">
      <c r="A32" s="27">
        <f>IFERROR(__xludf.DUMMYFUNCTION("""COMPUTED_VALUE"""),35.0)</f>
        <v>35</v>
      </c>
      <c r="B32" s="27" t="str">
        <f>IFERROR(__xludf.DUMMYFUNCTION("""COMPUTED_VALUE"""),"R1 / R3")</f>
        <v>R1 / R3</v>
      </c>
      <c r="C32" s="27" t="str">
        <f>IFERROR(__xludf.DUMMYFUNCTION("""COMPUTED_VALUE"""),"recommendation")</f>
        <v>recommendation</v>
      </c>
      <c r="D32" s="25" t="str">
        <f>IFERROR(__xludf.DUMMYFUNCTION("""COMPUTED_VALUE"""),"Build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E32" s="27"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F32" s="27"/>
      <c r="G32" s="4" t="str">
        <f>if(RDivergenciasJuiz = "first",RDivergenciasEspecifico1,if (RDivergenciasJuiz = "second",RDivergenciasEspecifico2, if (RDivergenciasEspecifico1 = "", RDivergenciasEspecifico2, RDivergenciasEspecifico1)))</f>
        <v>no</v>
      </c>
    </row>
    <row r="33">
      <c r="A33" s="27">
        <f>IFERROR(__xludf.DUMMYFUNCTION("""COMPUTED_VALUE"""),36.0)</f>
        <v>36</v>
      </c>
      <c r="B33" s="27" t="str">
        <f>IFERROR(__xludf.DUMMYFUNCTION("""COMPUTED_VALUE"""),"R2 / R3")</f>
        <v>R2 / R3</v>
      </c>
      <c r="C33" s="27" t="str">
        <f>IFERROR(__xludf.DUMMYFUNCTION("""COMPUTED_VALUE"""),"recommendation")</f>
        <v>recommendation</v>
      </c>
      <c r="D33" s="25" t="str">
        <f>IFERROR(__xludf.DUMMYFUNCTION("""COMPUTED_VALUE"""),"If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E33" s="27"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F33" s="27"/>
      <c r="G33" s="4" t="str">
        <f>if(RDivergenciasJuiz = "first",RDivergenciasEspecifico1,if (RDivergenciasJuiz = "second",RDivergenciasEspecifico2, if (RDivergenciasEspecifico1 = "", RDivergenciasEspecifico2, RDivergenciasEspecifico1)))</f>
        <v>no</v>
      </c>
    </row>
    <row r="34">
      <c r="A34" s="27">
        <f>IFERROR(__xludf.DUMMYFUNCTION("""COMPUTED_VALUE"""),37.0)</f>
        <v>37</v>
      </c>
      <c r="B34" s="27" t="str">
        <f>IFERROR(__xludf.DUMMYFUNCTION("""COMPUTED_VALUE"""),"R1 / R2")</f>
        <v>R1 / R2</v>
      </c>
      <c r="C34" s="27" t="str">
        <f>IFERROR(__xludf.DUMMYFUNCTION("""COMPUTED_VALUE"""),"recommendation")</f>
        <v>recommendation</v>
      </c>
      <c r="D34" s="27" t="str">
        <f>IFERROR(__xludf.DUMMYFUNCTION("""COMPUTED_VALUE"""),"Put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E34" s="27"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F34" s="27"/>
      <c r="G34" s="4" t="str">
        <f>if(RDivergenciasJuiz = "first",RDivergenciasEspecifico1,if (RDivergenciasJuiz = "second",RDivergenciasEspecifico2, if (RDivergenciasEspecifico1 = "", RDivergenciasEspecifico2, RDivergenciasEspecifico1)))</f>
        <v>no</v>
      </c>
    </row>
    <row r="35">
      <c r="A35" s="27">
        <f>IFERROR(__xludf.DUMMYFUNCTION("""COMPUTED_VALUE"""),38.0)</f>
        <v>38</v>
      </c>
      <c r="B35" s="27" t="str">
        <f>IFERROR(__xludf.DUMMYFUNCTION("""COMPUTED_VALUE"""),"R1 / R3")</f>
        <v>R1 / R3</v>
      </c>
      <c r="C35" s="27" t="str">
        <f>IFERROR(__xludf.DUMMYFUNCTION("""COMPUTED_VALUE"""),"recommendation")</f>
        <v>recommendation</v>
      </c>
      <c r="D35" s="27" t="str">
        <f>IFERROR(__xludf.DUMMYFUNCTION("""COMPUTED_VALUE"""),"This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E35" s="27"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F35" s="27"/>
      <c r="G35" s="4" t="str">
        <f>if(RDivergenciasJuiz = "first",RDivergenciasEspecifico1,if (RDivergenciasJuiz = "second",RDivergenciasEspecifico2, if (RDivergenciasEspecifico1 = "", RDivergenciasEspecifico2, RDivergenciasEspecifico1)))</f>
        <v>yes</v>
      </c>
    </row>
    <row r="36">
      <c r="A36" s="27">
        <f>IFERROR(__xludf.DUMMYFUNCTION("""COMPUTED_VALUE"""),39.0)</f>
        <v>39</v>
      </c>
      <c r="B36" s="27" t="str">
        <f>IFERROR(__xludf.DUMMYFUNCTION("""COMPUTED_VALUE"""),"R2 / R3")</f>
        <v>R2 / R3</v>
      </c>
      <c r="C36" s="27" t="str">
        <f>IFERROR(__xludf.DUMMYFUNCTION("""COMPUTED_VALUE"""),"recommendation")</f>
        <v>recommendation</v>
      </c>
      <c r="D36" s="27" t="str">
        <f>IFERROR(__xludf.DUMMYFUNCTION("""COMPUTED_VALUE"""),"This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E36" s="27" t="str">
        <f>IFERROR(__xludf.DUMMYFUNCTION("""COMPUTED_VALUE"""),"Half of the curriculum with DevOps concepts/culture. Half the curriculum with tools.")</f>
        <v>Half of the curriculum with DevOps concepts/culture. Half the curriculum with tools.</v>
      </c>
      <c r="F36" s="27"/>
      <c r="G36" s="4" t="str">
        <f>if(RDivergenciasJuiz = "first",RDivergenciasEspecifico1,if (RDivergenciasJuiz = "second",RDivergenciasEspecifico2, if (RDivergenciasEspecifico1 = "", RDivergenciasEspecifico2, RDivergenciasEspecifico1)))</f>
        <v>yes</v>
      </c>
    </row>
    <row r="37">
      <c r="A37" s="27">
        <f>IFERROR(__xludf.DUMMYFUNCTION("""COMPUTED_VALUE"""),40.0)</f>
        <v>40</v>
      </c>
      <c r="B37" s="27" t="str">
        <f>IFERROR(__xludf.DUMMYFUNCTION("""COMPUTED_VALUE"""),"R1 / R2")</f>
        <v>R1 / R2</v>
      </c>
      <c r="C37" s="27" t="str">
        <f>IFERROR(__xludf.DUMMYFUNCTION("""COMPUTED_VALUE"""),"recommendation")</f>
        <v>recommendation</v>
      </c>
      <c r="D37" s="27" t="str">
        <f>IFERROR(__xludf.DUMMYFUNCTION("""COMPUTED_VALUE"""),"For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E37" s="27"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F37" s="27"/>
      <c r="G37" s="4" t="str">
        <f>if(RDivergenciasJuiz = "first",RDivergenciasEspecifico1,if (RDivergenciasJuiz = "second",RDivergenciasEspecifico2, if (RDivergenciasEspecifico1 = "", RDivergenciasEspecifico2, RDivergenciasEspecifico1)))</f>
        <v>yes</v>
      </c>
    </row>
    <row r="38">
      <c r="A38" s="27">
        <f>IFERROR(__xludf.DUMMYFUNCTION("""COMPUTED_VALUE"""),41.0)</f>
        <v>41</v>
      </c>
      <c r="B38" s="27" t="str">
        <f>IFERROR(__xludf.DUMMYFUNCTION("""COMPUTED_VALUE"""),"R1 / R3")</f>
        <v>R1 / R3</v>
      </c>
      <c r="C38" s="27" t="str">
        <f>IFERROR(__xludf.DUMMYFUNCTION("""COMPUTED_VALUE"""),"recommendation")</f>
        <v>recommendation</v>
      </c>
      <c r="D38" s="25" t="str">
        <f>IFERROR(__xludf.DUMMYFUNCTION("""COMPUTED_VALUE"""),"Always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E38" s="25"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F38" s="27"/>
      <c r="G38" s="4" t="str">
        <f>if(RDivergenciasJuiz = "first",RDivergenciasEspecifico1,if (RDivergenciasJuiz = "second",RDivergenciasEspecifico2, if (RDivergenciasEspecifico1 = "", RDivergenciasEspecifico2, RDivergenciasEspecifico1)))</f>
        <v>yes</v>
      </c>
    </row>
    <row r="39">
      <c r="A39" s="27">
        <f>IFERROR(__xludf.DUMMYFUNCTION("""COMPUTED_VALUE"""),43.0)</f>
        <v>43</v>
      </c>
      <c r="B39" s="27" t="str">
        <f>IFERROR(__xludf.DUMMYFUNCTION("""COMPUTED_VALUE"""),"R1 / R2")</f>
        <v>R1 / R2</v>
      </c>
      <c r="C39" s="28" t="str">
        <f>IFERROR(__xludf.DUMMYFUNCTION("""COMPUTED_VALUE"""),"recommendation")</f>
        <v>recommendation</v>
      </c>
      <c r="D39" s="27" t="str">
        <f>IFERROR(__xludf.DUMMYFUNCTION("""COMPUTED_VALUE"""),"And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E39" s="27"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F39" s="27"/>
      <c r="G39" s="4" t="str">
        <f>if(RDivergenciasJuiz = "first",RDivergenciasEspecifico1,if (RDivergenciasJuiz = "second",RDivergenciasEspecifico2, if (RDivergenciasEspecifico1 = "", RDivergenciasEspecifico2, RDivergenciasEspecifico1)))</f>
        <v>no</v>
      </c>
    </row>
    <row r="40">
      <c r="A40" s="27">
        <f>IFERROR(__xludf.DUMMYFUNCTION("""COMPUTED_VALUE"""),44.0)</f>
        <v>44</v>
      </c>
      <c r="B40" s="27" t="str">
        <f>IFERROR(__xludf.DUMMYFUNCTION("""COMPUTED_VALUE"""),"R1 / R3")</f>
        <v>R1 / R3</v>
      </c>
      <c r="C40" s="27" t="str">
        <f>IFERROR(__xludf.DUMMYFUNCTION("""COMPUTED_VALUE"""),"recommendation")</f>
        <v>recommendation</v>
      </c>
      <c r="D40" s="27" t="str">
        <f>IFERROR(__xludf.DUMMYFUNCTION("""COMPUTED_VALUE"""),"Nor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E40" s="27"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F40" s="27"/>
      <c r="G40" s="4" t="str">
        <f>if(RDivergenciasJuiz = "first",RDivergenciasEspecifico1,if (RDivergenciasJuiz = "second",RDivergenciasEspecifico2, if (RDivergenciasEspecifico1 = "", RDivergenciasEspecifico2, RDivergenciasEspecifico1)))</f>
        <v>no</v>
      </c>
    </row>
    <row r="41">
      <c r="A41" s="27">
        <f>IFERROR(__xludf.DUMMYFUNCTION("""COMPUTED_VALUE"""),45.0)</f>
        <v>45</v>
      </c>
      <c r="B41" s="27" t="str">
        <f>IFERROR(__xludf.DUMMYFUNCTION("""COMPUTED_VALUE"""),"R2 / R3")</f>
        <v>R2 / R3</v>
      </c>
      <c r="C41" s="27" t="str">
        <f>IFERROR(__xludf.DUMMYFUNCTION("""COMPUTED_VALUE"""),"recommendation")</f>
        <v>recommendation</v>
      </c>
      <c r="D41" s="27" t="str">
        <f>IFERROR(__xludf.DUMMYFUNCTION("""COMPUTED_VALUE"""),"All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E41" s="27"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F41" s="27"/>
      <c r="G41" s="4" t="str">
        <f>if(RDivergenciasJuiz = "first",RDivergenciasEspecifico1,if (RDivergenciasJuiz = "second",RDivergenciasEspecifico2, if (RDivergenciasEspecifico1 = "", RDivergenciasEspecifico2, RDivergenciasEspecifico1)))</f>
        <v>yes</v>
      </c>
    </row>
    <row r="42">
      <c r="A42" s="27">
        <f>IFERROR(__xludf.DUMMYFUNCTION("""COMPUTED_VALUE"""),46.0)</f>
        <v>46</v>
      </c>
      <c r="B42" s="27" t="str">
        <f>IFERROR(__xludf.DUMMYFUNCTION("""COMPUTED_VALUE"""),"R1 / R2")</f>
        <v>R1 / R2</v>
      </c>
      <c r="C42" s="27" t="str">
        <f>IFERROR(__xludf.DUMMYFUNCTION("""COMPUTED_VALUE"""),"recommendation")</f>
        <v>recommendation</v>
      </c>
      <c r="D42" s="27" t="str">
        <f>IFERROR(__xludf.DUMMYFUNCTION("""COMPUTED_VALUE"""),"To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E42" s="27"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F42" s="27"/>
      <c r="G42" s="4" t="str">
        <f>if(RDivergenciasJuiz = "first",RDivergenciasEspecifico1,if (RDivergenciasJuiz = "second",RDivergenciasEspecifico2, if (RDivergenciasEspecifico1 = "", RDivergenciasEspecifico2, RDivergenciasEspecifico1)))</f>
        <v>no</v>
      </c>
    </row>
    <row r="43">
      <c r="A43" s="27">
        <f>IFERROR(__xludf.DUMMYFUNCTION("""COMPUTED_VALUE"""),48.0)</f>
        <v>48</v>
      </c>
      <c r="B43" s="27" t="str">
        <f>IFERROR(__xludf.DUMMYFUNCTION("""COMPUTED_VALUE"""),"R2 / R3")</f>
        <v>R2 / R3</v>
      </c>
      <c r="C43" s="27" t="str">
        <f>IFERROR(__xludf.DUMMYFUNCTION("""COMPUTED_VALUE"""),"recommendation")</f>
        <v>recommendation</v>
      </c>
      <c r="D43" s="27" t="str">
        <f>IFERROR(__xludf.DUMMYFUNCTION("""COMPUTED_VALUE"""),"So,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E43" s="27" t="str">
        <f>IFERROR(__xludf.DUMMYFUNCTION("""COMPUTED_VALUE"""),"Use examples with students to teach theory. For instance, we are using blocks or Trello to teach Lean.")</f>
        <v>Use examples with students to teach theory. For instance, we are using blocks or Trello to teach Lean.</v>
      </c>
      <c r="F43" s="27"/>
      <c r="G43" s="4" t="str">
        <f>if(RDivergenciasJuiz = "first",RDivergenciasEspecifico1,if (RDivergenciasJuiz = "second",RDivergenciasEspecifico2, if (RDivergenciasEspecifico1 = "", RDivergenciasEspecifico2, RDivergenciasEspecifico1)))</f>
        <v>no</v>
      </c>
    </row>
    <row r="44">
      <c r="A44" s="27">
        <f>IFERROR(__xludf.DUMMYFUNCTION("""COMPUTED_VALUE"""),49.0)</f>
        <v>49</v>
      </c>
      <c r="B44" s="27" t="str">
        <f>IFERROR(__xludf.DUMMYFUNCTION("""COMPUTED_VALUE"""),"R1 / R2")</f>
        <v>R1 / R2</v>
      </c>
      <c r="C44" s="27" t="str">
        <f>IFERROR(__xludf.DUMMYFUNCTION("""COMPUTED_VALUE"""),"recommendation")</f>
        <v>recommendation</v>
      </c>
      <c r="D44" s="27" t="str">
        <f>IFERROR(__xludf.DUMMYFUNCTION("""COMPUTED_VALUE"""),"Suppose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E44" s="27"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F44" s="27"/>
      <c r="G44" s="4" t="str">
        <f>if(RDivergenciasJuiz = "first",RDivergenciasEspecifico1,if (RDivergenciasJuiz = "second",RDivergenciasEspecifico2, if (RDivergenciasEspecifico1 = "", RDivergenciasEspecifico2, RDivergenciasEspecifico1)))</f>
        <v>no</v>
      </c>
    </row>
    <row r="45">
      <c r="A45" s="27">
        <f>IFERROR(__xludf.DUMMYFUNCTION("""COMPUTED_VALUE"""),51.0)</f>
        <v>51</v>
      </c>
      <c r="B45" s="27" t="str">
        <f>IFERROR(__xludf.DUMMYFUNCTION("""COMPUTED_VALUE"""),"R2 / R3")</f>
        <v>R2 / R3</v>
      </c>
      <c r="C45" s="27" t="str">
        <f>IFERROR(__xludf.DUMMYFUNCTION("""COMPUTED_VALUE"""),"recommendation")</f>
        <v>recommendation</v>
      </c>
      <c r="D45" s="27" t="str">
        <f>IFERROR(__xludf.DUMMYFUNCTION("""COMPUTED_VALUE"""),"If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E45" s="27" t="str">
        <f>IFERROR(__xludf.DUMMYFUNCTION("""COMPUTED_VALUE"""),"Share course prerequisites with students in advance.")</f>
        <v>Share course prerequisites with students in advance.</v>
      </c>
      <c r="F45" s="27"/>
      <c r="G45" s="4" t="str">
        <f>if(RDivergenciasJuiz = "first",RDivergenciasEspecifico1,if (RDivergenciasJuiz = "second",RDivergenciasEspecifico2, if (RDivergenciasEspecifico1 = "", RDivergenciasEspecifico2, RDivergenciasEspecifico1)))</f>
        <v>no</v>
      </c>
    </row>
    <row r="46">
      <c r="A46" s="27">
        <f>IFERROR(__xludf.DUMMYFUNCTION("""COMPUTED_VALUE"""),52.0)</f>
        <v>52</v>
      </c>
      <c r="B46" s="27" t="str">
        <f>IFERROR(__xludf.DUMMYFUNCTION("""COMPUTED_VALUE"""),"R1 / R2")</f>
        <v>R1 / R2</v>
      </c>
      <c r="C46" s="27" t="str">
        <f>IFERROR(__xludf.DUMMYFUNCTION("""COMPUTED_VALUE"""),"recommendation")</f>
        <v>recommendation</v>
      </c>
      <c r="D46" s="25" t="str">
        <f>IFERROR(__xludf.DUMMYFUNCTION("""COMPUTED_VALUE"""),"These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E46" s="25"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F46" s="27"/>
      <c r="G46" s="4" t="str">
        <f>if(RDivergenciasJuiz = "first",RDivergenciasEspecifico1,if (RDivergenciasJuiz = "second",RDivergenciasEspecifico2, if (RDivergenciasEspecifico1 = "", RDivergenciasEspecifico2, RDivergenciasEspecifico1)))</f>
        <v>no</v>
      </c>
    </row>
    <row r="47">
      <c r="A47" s="27">
        <f>IFERROR(__xludf.DUMMYFUNCTION("""COMPUTED_VALUE"""),53.0)</f>
        <v>53</v>
      </c>
      <c r="B47" s="27" t="str">
        <f>IFERROR(__xludf.DUMMYFUNCTION("""COMPUTED_VALUE"""),"R1 / R3")</f>
        <v>R1 / R3</v>
      </c>
      <c r="C47" s="27" t="str">
        <f>IFERROR(__xludf.DUMMYFUNCTION("""COMPUTED_VALUE"""),"recommendation")</f>
        <v>recommendation</v>
      </c>
      <c r="D47" s="25" t="str">
        <f>IFERROR(__xludf.DUMMYFUNCTION("""COMPUTED_VALUE"""),"So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E47" s="25"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F47" s="27"/>
      <c r="G47" s="4" t="str">
        <f>if(RDivergenciasJuiz = "first",RDivergenciasEspecifico1,if (RDivergenciasJuiz = "second",RDivergenciasEspecifico2, if (RDivergenciasEspecifico1 = "", RDivergenciasEspecifico2, RDivergenciasEspecifico1)))</f>
        <v>no</v>
      </c>
    </row>
    <row r="48">
      <c r="A48" s="27">
        <f>IFERROR(__xludf.DUMMYFUNCTION("""COMPUTED_VALUE"""),54.0)</f>
        <v>54</v>
      </c>
      <c r="B48" s="27" t="str">
        <f>IFERROR(__xludf.DUMMYFUNCTION("""COMPUTED_VALUE"""),"R2 / R3")</f>
        <v>R2 / R3</v>
      </c>
      <c r="C48" s="27" t="str">
        <f>IFERROR(__xludf.DUMMYFUNCTION("""COMPUTED_VALUE"""),"recommendation")</f>
        <v>recommendation</v>
      </c>
      <c r="D48" s="25" t="str">
        <f>IFERROR(__xludf.DUMMYFUNCTION("""COMPUTED_VALUE"""),"From a didactic point of view, we leave one or two hours before each day; there is a specific infra team to answer any student's doubts.")</f>
        <v>From a didactic point of view, we leave one or two hours before each day; there is a specific infra team to answer any student's doubts.</v>
      </c>
      <c r="E48" s="25" t="str">
        <f>IFERROR(__xludf.DUMMYFUNCTION("""COMPUTED_VALUE"""),"There is a specific support team to answer students' questions about the related infrastructure part.")</f>
        <v>There is a specific support team to answer students' questions about the related infrastructure part.</v>
      </c>
      <c r="F48" s="27"/>
      <c r="G48" s="4" t="str">
        <f>if(RDivergenciasJuiz = "first",RDivergenciasEspecifico1,if (RDivergenciasJuiz = "second",RDivergenciasEspecifico2, if (RDivergenciasEspecifico1 = "", RDivergenciasEspecifico2, RDivergenciasEspecifico1)))</f>
        <v>no</v>
      </c>
    </row>
    <row r="49">
      <c r="A49" s="27">
        <f>IFERROR(__xludf.DUMMYFUNCTION("""COMPUTED_VALUE"""),55.0)</f>
        <v>55</v>
      </c>
      <c r="B49" s="27" t="str">
        <f>IFERROR(__xludf.DUMMYFUNCTION("""COMPUTED_VALUE"""),"R1 / R2")</f>
        <v>R1 / R2</v>
      </c>
      <c r="C49" s="27" t="str">
        <f>IFERROR(__xludf.DUMMYFUNCTION("""COMPUTED_VALUE"""),"recommendation")</f>
        <v>recommendation</v>
      </c>
      <c r="D49" s="25" t="str">
        <f>IFERROR(__xludf.DUMMYFUNCTION("""COMPUTED_VALUE"""),"Realize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E49" s="25" t="str">
        <f>IFERROR(__xludf.DUMMYFUNCTION("""COMPUTED_VALUE"""),"Avoid messing around with specific problems faced by students, dealing in a personalized way at the right time.")</f>
        <v>Avoid messing around with specific problems faced by students, dealing in a personalized way at the right time.</v>
      </c>
      <c r="F49" s="27"/>
      <c r="G49" s="4" t="str">
        <f>if(RDivergenciasJuiz = "first",RDivergenciasEspecifico1,if (RDivergenciasJuiz = "second",RDivergenciasEspecifico2, if (RDivergenciasEspecifico1 = "", RDivergenciasEspecifico2, RDivergenciasEspecifico1)))</f>
        <v>no</v>
      </c>
    </row>
    <row r="50">
      <c r="A50" s="27">
        <f>IFERROR(__xludf.DUMMYFUNCTION("""COMPUTED_VALUE"""),56.0)</f>
        <v>56</v>
      </c>
      <c r="B50" s="27" t="str">
        <f>IFERROR(__xludf.DUMMYFUNCTION("""COMPUTED_VALUE"""),"R1 / R3")</f>
        <v>R1 / R3</v>
      </c>
      <c r="C50" s="27" t="str">
        <f>IFERROR(__xludf.DUMMYFUNCTION("""COMPUTED_VALUE"""),"recommendation")</f>
        <v>recommendation</v>
      </c>
      <c r="D50" s="25" t="str">
        <f>IFERROR(__xludf.DUMMYFUNCTION("""COMPUTED_VALUE"""),"A task tracking tool. Then it can be Notion or Trello; I think it's essential.")</f>
        <v>A task tracking tool. Then it can be Notion or Trello; I think it's essential.</v>
      </c>
      <c r="E50" s="25" t="str">
        <f>IFERROR(__xludf.DUMMYFUNCTION("""COMPUTED_VALUE"""),"Use a task tracking tool like Trello or Notion.")</f>
        <v>Use a task tracking tool like Trello or Notion.</v>
      </c>
      <c r="F50" s="27"/>
      <c r="G50" s="4" t="str">
        <f>if(RDivergenciasJuiz = "first",RDivergenciasEspecifico1,if (RDivergenciasJuiz = "second",RDivergenciasEspecifico2, if (RDivergenciasEspecifico1 = "", RDivergenciasEspecifico2, RDivergenciasEspecifico1)))</f>
        <v>no</v>
      </c>
    </row>
    <row r="51">
      <c r="A51" s="27">
        <f>IFERROR(__xludf.DUMMYFUNCTION("""COMPUTED_VALUE"""),57.0)</f>
        <v>57</v>
      </c>
      <c r="B51" s="27" t="str">
        <f>IFERROR(__xludf.DUMMYFUNCTION("""COMPUTED_VALUE"""),"R2 / R3")</f>
        <v>R2 / R3</v>
      </c>
      <c r="C51" s="27" t="str">
        <f>IFERROR(__xludf.DUMMYFUNCTION("""COMPUTED_VALUE"""),"recommendation")</f>
        <v>recommendation</v>
      </c>
      <c r="D51" s="25" t="str">
        <f>IFERROR(__xludf.DUMMYFUNCTION("""COMPUTED_VALUE"""),"There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E51" s="25"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F51" s="27"/>
      <c r="G51" s="4" t="str">
        <f>if(RDivergenciasJuiz = "first",RDivergenciasEspecifico1,if (RDivergenciasJuiz = "second",RDivergenciasEspecifico2, if (RDivergenciasEspecifico1 = "", RDivergenciasEspecifico2, RDivergenciasEspecifico1)))</f>
        <v>no</v>
      </c>
    </row>
    <row r="52">
      <c r="A52" s="27">
        <f>IFERROR(__xludf.DUMMYFUNCTION("""COMPUTED_VALUE"""),58.0)</f>
        <v>58</v>
      </c>
      <c r="B52" s="27" t="str">
        <f>IFERROR(__xludf.DUMMYFUNCTION("""COMPUTED_VALUE"""),"R1 / R2")</f>
        <v>R1 / R2</v>
      </c>
      <c r="C52" s="27" t="str">
        <f>IFERROR(__xludf.DUMMYFUNCTION("""COMPUTED_VALUE"""),"recommendation")</f>
        <v>recommendation</v>
      </c>
      <c r="D52" s="25" t="str">
        <f>IFERROR(__xludf.DUMMYFUNCTION("""COMPUTED_VALUE"""),"I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E52" s="25"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F52" s="27"/>
      <c r="G52" s="4" t="str">
        <f>if(RDivergenciasJuiz = "first",RDivergenciasEspecifico1,if (RDivergenciasJuiz = "second",RDivergenciasEspecifico2, if (RDivergenciasEspecifico1 = "", RDivergenciasEspecifico2, RDivergenciasEspecifico1)))</f>
        <v>no</v>
      </c>
    </row>
    <row r="53">
      <c r="A53" s="27">
        <f>IFERROR(__xludf.DUMMYFUNCTION("""COMPUTED_VALUE"""),59.0)</f>
        <v>59</v>
      </c>
      <c r="B53" s="27" t="str">
        <f>IFERROR(__xludf.DUMMYFUNCTION("""COMPUTED_VALUE"""),"R1 / R3")</f>
        <v>R1 / R3</v>
      </c>
      <c r="C53" s="27" t="str">
        <f>IFERROR(__xludf.DUMMYFUNCTION("""COMPUTED_VALUE"""),"recommendation")</f>
        <v>recommendation</v>
      </c>
      <c r="D53" s="25" t="str">
        <f>IFERROR(__xludf.DUMMYFUNCTION("""COMPUTED_VALUE"""),"And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E53" s="25"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F53" s="27"/>
      <c r="G53" s="4" t="str">
        <f>if(RDivergenciasJuiz = "first",RDivergenciasEspecifico1,if (RDivergenciasJuiz = "second",RDivergenciasEspecifico2, if (RDivergenciasEspecifico1 = "", RDivergenciasEspecifico2, RDivergenciasEspecifico1)))</f>
        <v>no</v>
      </c>
    </row>
    <row r="54">
      <c r="A54" s="27">
        <f>IFERROR(__xludf.DUMMYFUNCTION("""COMPUTED_VALUE"""),60.0)</f>
        <v>60</v>
      </c>
      <c r="B54" s="27" t="str">
        <f>IFERROR(__xludf.DUMMYFUNCTION("""COMPUTED_VALUE"""),"R2 / R3")</f>
        <v>R2 / R3</v>
      </c>
      <c r="C54" s="27" t="str">
        <f>IFERROR(__xludf.DUMMYFUNCTION("""COMPUTED_VALUE"""),"recommendation")</f>
        <v>recommendation</v>
      </c>
      <c r="D54" s="25" t="str">
        <f>IFERROR(__xludf.DUMMYFUNCTION("""COMPUTED_VALUE"""),"We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E54" s="25"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F54" s="27"/>
      <c r="G54" s="4" t="str">
        <f>if(RDivergenciasJuiz = "first",RDivergenciasEspecifico1,if (RDivergenciasJuiz = "second",RDivergenciasEspecifico2, if (RDivergenciasEspecifico1 = "", RDivergenciasEspecifico2, RDivergenciasEspecifico1)))</f>
        <v>yes</v>
      </c>
    </row>
    <row r="55">
      <c r="A55" s="27">
        <f>IFERROR(__xludf.DUMMYFUNCTION("""COMPUTED_VALUE"""),61.0)</f>
        <v>61</v>
      </c>
      <c r="B55" s="27" t="str">
        <f>IFERROR(__xludf.DUMMYFUNCTION("""COMPUTED_VALUE"""),"R1 / R2")</f>
        <v>R1 / R2</v>
      </c>
      <c r="C55" s="27" t="str">
        <f>IFERROR(__xludf.DUMMYFUNCTION("""COMPUTED_VALUE"""),"recommendation")</f>
        <v>recommendation</v>
      </c>
      <c r="D55" s="25" t="str">
        <f>IFERROR(__xludf.DUMMYFUNCTION("""COMPUTED_VALUE"""),"Notion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E55" s="25" t="str">
        <f>IFERROR(__xludf.DUMMYFUNCTION("""COMPUTED_VALUE"""),"Notion and Trello allow student and teacher interaction in two ways. Gist does not allow it.")</f>
        <v>Notion and Trello allow student and teacher interaction in two ways. Gist does not allow it.</v>
      </c>
      <c r="F55" s="27"/>
      <c r="G55" s="4" t="str">
        <f>if(RDivergenciasJuiz = "first",RDivergenciasEspecifico1,if (RDivergenciasJuiz = "second",RDivergenciasEspecifico2, if (RDivergenciasEspecifico1 = "", RDivergenciasEspecifico2, RDivergenciasEspecifico1)))</f>
        <v>no</v>
      </c>
    </row>
    <row r="56">
      <c r="A56" s="27">
        <f>IFERROR(__xludf.DUMMYFUNCTION("""COMPUTED_VALUE"""),62.0)</f>
        <v>62</v>
      </c>
      <c r="B56" s="27" t="str">
        <f>IFERROR(__xludf.DUMMYFUNCTION("""COMPUTED_VALUE"""),"R1 / R3")</f>
        <v>R1 / R3</v>
      </c>
      <c r="C56" s="27" t="str">
        <f>IFERROR(__xludf.DUMMYFUNCTION("""COMPUTED_VALUE"""),"recommendation")</f>
        <v>recommendation</v>
      </c>
      <c r="D56" s="25" t="str">
        <f>IFERROR(__xludf.DUMMYFUNCTION("""COMPUTED_VALUE"""),"So,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E56" s="25" t="str">
        <f>IFERROR(__xludf.DUMMYFUNCTION("""COMPUTED_VALUE"""),"Limit the zoom FPS rate to 10, avoiding excessive student and instructor resource consumption.")</f>
        <v>Limit the zoom FPS rate to 10, avoiding excessive student and instructor resource consumption.</v>
      </c>
      <c r="F56" s="27"/>
      <c r="G56" s="4" t="str">
        <f>if(RDivergenciasJuiz = "first",RDivergenciasEspecifico1,if (RDivergenciasJuiz = "second",RDivergenciasEspecifico2, if (RDivergenciasEspecifico1 = "", RDivergenciasEspecifico2, RDivergenciasEspecifico1)))</f>
        <v>no</v>
      </c>
    </row>
    <row r="57">
      <c r="A57" s="27">
        <f>IFERROR(__xludf.DUMMYFUNCTION("""COMPUTED_VALUE"""),63.0)</f>
        <v>63</v>
      </c>
      <c r="B57" s="27" t="str">
        <f>IFERROR(__xludf.DUMMYFUNCTION("""COMPUTED_VALUE"""),"R2 / R3")</f>
        <v>R2 / R3</v>
      </c>
      <c r="C57" s="27" t="str">
        <f>IFERROR(__xludf.DUMMYFUNCTION("""COMPUTED_VALUE"""),"recommendation")</f>
        <v>recommendation</v>
      </c>
      <c r="D57" s="25" t="str">
        <f>IFERROR(__xludf.DUMMYFUNCTION("""COMPUTED_VALUE"""),"It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E57" s="25"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F57" s="27"/>
      <c r="G57" s="4" t="str">
        <f>if(RDivergenciasJuiz = "first",RDivergenciasEspecifico1,if (RDivergenciasJuiz = "second",RDivergenciasEspecifico2, if (RDivergenciasEspecifico1 = "", RDivergenciasEspecifico2, RDivergenciasEspecifico1)))</f>
        <v>yes</v>
      </c>
    </row>
    <row r="58">
      <c r="A58" s="27">
        <f>IFERROR(__xludf.DUMMYFUNCTION("""COMPUTED_VALUE"""),64.0)</f>
        <v>64</v>
      </c>
      <c r="B58" s="27" t="str">
        <f>IFERROR(__xludf.DUMMYFUNCTION("""COMPUTED_VALUE"""),"R1 / R2")</f>
        <v>R1 / R2</v>
      </c>
      <c r="C58" s="27" t="str">
        <f>IFERROR(__xludf.DUMMYFUNCTION("""COMPUTED_VALUE"""),"recommendation")</f>
        <v>recommendation</v>
      </c>
      <c r="D58" s="25" t="str">
        <f>IFERROR(__xludf.DUMMYFUNCTION("""COMPUTED_VALUE"""),"They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E58" s="25"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F58" s="27"/>
      <c r="G58" s="4" t="str">
        <f>if(RDivergenciasJuiz = "first",RDivergenciasEspecifico1,if (RDivergenciasJuiz = "second",RDivergenciasEspecifico2, if (RDivergenciasEspecifico1 = "", RDivergenciasEspecifico2, RDivergenciasEspecifico1)))</f>
        <v>no</v>
      </c>
    </row>
    <row r="59">
      <c r="A59" s="27">
        <f>IFERROR(__xludf.DUMMYFUNCTION("""COMPUTED_VALUE"""),66.0)</f>
        <v>66</v>
      </c>
      <c r="B59" s="27" t="str">
        <f>IFERROR(__xludf.DUMMYFUNCTION("""COMPUTED_VALUE"""),"R2 / R3")</f>
        <v>R2 / R3</v>
      </c>
      <c r="C59" s="27" t="str">
        <f>IFERROR(__xludf.DUMMYFUNCTION("""COMPUTED_VALUE"""),"recommendation")</f>
        <v>recommendation</v>
      </c>
      <c r="D59" s="25" t="str">
        <f>IFERROR(__xludf.DUMMYFUNCTION("""COMPUTED_VALUE"""),"If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E59" s="25" t="str">
        <f>IFERROR(__xludf.DUMMYFUNCTION("""COMPUTED_VALUE"""),"Record a training for the teacher to assess language addiction and whether the class flowed as planned.")</f>
        <v>Record a training for the teacher to assess language addiction and whether the class flowed as planned.</v>
      </c>
      <c r="F59" s="27"/>
      <c r="G59" s="4" t="str">
        <f>if(RDivergenciasJuiz = "first",RDivergenciasEspecifico1,if (RDivergenciasJuiz = "second",RDivergenciasEspecifico2, if (RDivergenciasEspecifico1 = "", RDivergenciasEspecifico2, RDivergenciasEspecifico1)))</f>
        <v>no</v>
      </c>
    </row>
    <row r="60">
      <c r="A60" s="27">
        <f>IFERROR(__xludf.DUMMYFUNCTION("""COMPUTED_VALUE"""),67.0)</f>
        <v>67</v>
      </c>
      <c r="B60" s="27" t="str">
        <f>IFERROR(__xludf.DUMMYFUNCTION("""COMPUTED_VALUE"""),"R1 / R2")</f>
        <v>R1 / R2</v>
      </c>
      <c r="C60" s="27" t="str">
        <f>IFERROR(__xludf.DUMMYFUNCTION("""COMPUTED_VALUE"""),"recommendation")</f>
        <v>recommendation</v>
      </c>
      <c r="D60" s="25" t="str">
        <f>IFERROR(__xludf.DUMMYFUNCTION("""COMPUTED_VALUE"""),"Mixing, theoretical and practical [...] is essential.")</f>
        <v>Mixing, theoretical and practical [...] is essential.</v>
      </c>
      <c r="E60" s="25" t="str">
        <f>IFERROR(__xludf.DUMMYFUNCTION("""COMPUTED_VALUE"""),"It is essential to mix the teaching of the theoretical part and the practical part of DevOps.")</f>
        <v>It is essential to mix the teaching of the theoretical part and the practical part of DevOps.</v>
      </c>
      <c r="F60" s="27"/>
      <c r="G60" s="4" t="str">
        <f>if(RDivergenciasJuiz = "first",RDivergenciasEspecifico1,if (RDivergenciasJuiz = "second",RDivergenciasEspecifico2, if (RDivergenciasEspecifico1 = "", RDivergenciasEspecifico2, RDivergenciasEspecifico1)))</f>
        <v>yes</v>
      </c>
    </row>
    <row r="61">
      <c r="A61" s="27">
        <f>IFERROR(__xludf.DUMMYFUNCTION("""COMPUTED_VALUE"""),68.0)</f>
        <v>68</v>
      </c>
      <c r="B61" s="27" t="str">
        <f>IFERROR(__xludf.DUMMYFUNCTION("""COMPUTED_VALUE"""),"R1 / R3")</f>
        <v>R1 / R3</v>
      </c>
      <c r="C61" s="27" t="str">
        <f>IFERROR(__xludf.DUMMYFUNCTION("""COMPUTED_VALUE"""),"recommendation")</f>
        <v>recommendation</v>
      </c>
      <c r="D61" s="25" t="str">
        <f>IFERROR(__xludf.DUMMYFUNCTION("""COMPUTED_VALUE"""),"We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E61" s="25" t="str">
        <f>IFERROR(__xludf.DUMMYFUNCTION("""COMPUTED_VALUE"""),"In the theoretical part of DevOps, Lean, Kaisen, and Agile should be taught.")</f>
        <v>In the theoretical part of DevOps, Lean, Kaisen, and Agile should be taught.</v>
      </c>
      <c r="F61" s="27"/>
      <c r="G61" s="4" t="str">
        <f>if(RDivergenciasJuiz = "first",RDivergenciasEspecifico1,if (RDivergenciasJuiz = "second",RDivergenciasEspecifico2, if (RDivergenciasEspecifico1 = "", RDivergenciasEspecifico2, RDivergenciasEspecifico1)))</f>
        <v>yes</v>
      </c>
    </row>
    <row r="62">
      <c r="A62" s="27">
        <f>IFERROR(__xludf.DUMMYFUNCTION("""COMPUTED_VALUE"""),69.0)</f>
        <v>69</v>
      </c>
      <c r="B62" s="27" t="str">
        <f>IFERROR(__xludf.DUMMYFUNCTION("""COMPUTED_VALUE"""),"R2 / R3")</f>
        <v>R2 / R3</v>
      </c>
      <c r="C62" s="27" t="str">
        <f>IFERROR(__xludf.DUMMYFUNCTION("""COMPUTED_VALUE"""),"recommendation")</f>
        <v>recommendation</v>
      </c>
      <c r="D62" s="25" t="str">
        <f>IFERROR(__xludf.DUMMYFUNCTION("""COMPUTED_VALUE"""),"What is practical, from the menu, is to make an end-to-end software, [...] But, end-to-end, and the end, which is monitoring.")</f>
        <v>What is practical, from the menu, is to make an end-to-end software, [...] But, end-to-end, and the end, which is monitoring.</v>
      </c>
      <c r="E62" s="25" t="str">
        <f>IFERROR(__xludf.DUMMYFUNCTION("""COMPUTED_VALUE"""),"Make software from start to finish, going through the DevOps steps to the monitoring step.")</f>
        <v>Make software from start to finish, going through the DevOps steps to the monitoring step.</v>
      </c>
      <c r="F62" s="27"/>
      <c r="G62" s="4" t="str">
        <f>if(RDivergenciasJuiz = "first",RDivergenciasEspecifico1,if (RDivergenciasJuiz = "second",RDivergenciasEspecifico2, if (RDivergenciasEspecifico1 = "", RDivergenciasEspecifico2, RDivergenciasEspecifico1)))</f>
        <v>yes</v>
      </c>
    </row>
    <row r="63">
      <c r="A63" s="27">
        <f>IFERROR(__xludf.DUMMYFUNCTION("""COMPUTED_VALUE"""),70.0)</f>
        <v>70</v>
      </c>
      <c r="B63" s="27" t="str">
        <f>IFERROR(__xludf.DUMMYFUNCTION("""COMPUTED_VALUE"""),"R1 / R2")</f>
        <v>R1 / R2</v>
      </c>
      <c r="C63" s="27" t="str">
        <f>IFERROR(__xludf.DUMMYFUNCTION("""COMPUTED_VALUE"""),"recommendation")</f>
        <v>recommendation</v>
      </c>
      <c r="D63" s="25" t="str">
        <f>IFERROR(__xludf.DUMMYFUNCTION("""COMPUTED_VALUE"""),"Software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E63" s="25" t="str">
        <f>IFERROR(__xludf.DUMMYFUNCTION("""COMPUTED_VALUE"""),"Perform continuous delivery through virtual machines or with Docker.")</f>
        <v>Perform continuous delivery through virtual machines or with Docker.</v>
      </c>
      <c r="F63" s="27"/>
      <c r="G63" s="4" t="str">
        <f>if(RDivergenciasJuiz = "first",RDivergenciasEspecifico1,if (RDivergenciasJuiz = "second",RDivergenciasEspecifico2, if (RDivergenciasEspecifico1 = "", RDivergenciasEspecifico2, RDivergenciasEspecifico1)))</f>
        <v>yes</v>
      </c>
    </row>
    <row r="64">
      <c r="A64" s="27">
        <f>IFERROR(__xludf.DUMMYFUNCTION("""COMPUTED_VALUE"""),71.0)</f>
        <v>71</v>
      </c>
      <c r="B64" s="27" t="str">
        <f>IFERROR(__xludf.DUMMYFUNCTION("""COMPUTED_VALUE"""),"R1 / R3")</f>
        <v>R1 / R3</v>
      </c>
      <c r="C64" s="27" t="str">
        <f>IFERROR(__xludf.DUMMYFUNCTION("""COMPUTED_VALUE"""),"recommendation")</f>
        <v>recommendation</v>
      </c>
      <c r="D64" s="25" t="str">
        <f>IFERROR(__xludf.DUMMYFUNCTION("""COMPUTED_VALUE"""),"The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E64" s="25" t="str">
        <f>IFERROR(__xludf.DUMMYFUNCTION("""COMPUTED_VALUE"""),"Use Grafana and Prometheus as monitoring tools.")</f>
        <v>Use Grafana and Prometheus as monitoring tools.</v>
      </c>
      <c r="F64" s="27"/>
      <c r="G64" s="4" t="str">
        <f>if(RDivergenciasJuiz = "first",RDivergenciasEspecifico1,if (RDivergenciasJuiz = "second",RDivergenciasEspecifico2, if (RDivergenciasEspecifico1 = "", RDivergenciasEspecifico2, RDivergenciasEspecifico1)))</f>
        <v>yes</v>
      </c>
    </row>
    <row r="65">
      <c r="A65" s="27">
        <f>IFERROR(__xludf.DUMMYFUNCTION("""COMPUTED_VALUE"""),72.0)</f>
        <v>72</v>
      </c>
      <c r="B65" s="27" t="str">
        <f>IFERROR(__xludf.DUMMYFUNCTION("""COMPUTED_VALUE"""),"R2 / R3")</f>
        <v>R2 / R3</v>
      </c>
      <c r="C65" s="27" t="str">
        <f>IFERROR(__xludf.DUMMYFUNCTION("""COMPUTED_VALUE"""),"recommendation")</f>
        <v>recommendation</v>
      </c>
      <c r="D65" s="25" t="str">
        <f>IFERROR(__xludf.DUMMYFUNCTION("""COMPUTED_VALUE"""),"Of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E65" s="25" t="str">
        <f>IFERROR(__xludf.DUMMYFUNCTION("""COMPUTED_VALUE"""),"Use a complete example project from places such as a java discussion forum.")</f>
        <v>Use a complete example project from places such as a java discussion forum.</v>
      </c>
      <c r="F65" s="27"/>
      <c r="G65" s="4" t="str">
        <f>if(RDivergenciasJuiz = "first",RDivergenciasEspecifico1,if (RDivergenciasJuiz = "second",RDivergenciasEspecifico2, if (RDivergenciasEspecifico1 = "", RDivergenciasEspecifico2, RDivergenciasEspecifico1)))</f>
        <v>no</v>
      </c>
    </row>
    <row r="66">
      <c r="A66" s="27">
        <f>IFERROR(__xludf.DUMMYFUNCTION("""COMPUTED_VALUE"""),73.0)</f>
        <v>73</v>
      </c>
      <c r="B66" s="27" t="str">
        <f>IFERROR(__xludf.DUMMYFUNCTION("""COMPUTED_VALUE"""),"R1 / R2")</f>
        <v>R1 / R2</v>
      </c>
      <c r="C66" s="27" t="str">
        <f>IFERROR(__xludf.DUMMYFUNCTION("""COMPUTED_VALUE"""),"recommendation")</f>
        <v>recommendation</v>
      </c>
      <c r="D66" s="25" t="str">
        <f>IFERROR(__xludf.DUMMYFUNCTION("""COMPUTED_VALUE"""),"So,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E66" s="25"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F66" s="27"/>
      <c r="G66" s="4" t="str">
        <f>if(RDivergenciasJuiz = "first",RDivergenciasEspecifico1,if (RDivergenciasJuiz = "second",RDivergenciasEspecifico2, if (RDivergenciasEspecifico1 = "", RDivergenciasEspecifico2, RDivergenciasEspecifico1)))</f>
        <v>yes</v>
      </c>
    </row>
    <row r="67">
      <c r="A67" s="27">
        <f>IFERROR(__xludf.DUMMYFUNCTION("""COMPUTED_VALUE"""),74.0)</f>
        <v>74</v>
      </c>
      <c r="B67" s="27" t="str">
        <f>IFERROR(__xludf.DUMMYFUNCTION("""COMPUTED_VALUE"""),"R1 / R3")</f>
        <v>R1 / R3</v>
      </c>
      <c r="C67" s="27" t="str">
        <f>IFERROR(__xludf.DUMMYFUNCTION("""COMPUTED_VALUE"""),"recommendation")</f>
        <v>recommendation</v>
      </c>
      <c r="D67" s="25" t="str">
        <f>IFERROR(__xludf.DUMMYFUNCTION("""COMPUTED_VALUE"""),"Make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E67" s="25"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F67" s="27"/>
      <c r="G67" s="4" t="str">
        <f>if(RDivergenciasJuiz = "first",RDivergenciasEspecifico1,if (RDivergenciasJuiz = "second",RDivergenciasEspecifico2, if (RDivergenciasEspecifico1 = "", RDivergenciasEspecifico2, RDivergenciasEspecifico1)))</f>
        <v>no</v>
      </c>
    </row>
    <row r="68">
      <c r="A68" s="27">
        <f>IFERROR(__xludf.DUMMYFUNCTION("""COMPUTED_VALUE"""),75.0)</f>
        <v>75</v>
      </c>
      <c r="B68" s="27" t="str">
        <f>IFERROR(__xludf.DUMMYFUNCTION("""COMPUTED_VALUE"""),"R2 / R3")</f>
        <v>R2 / R3</v>
      </c>
      <c r="C68" s="27" t="str">
        <f>IFERROR(__xludf.DUMMYFUNCTION("""COMPUTED_VALUE"""),"recommendation")</f>
        <v>recommendation</v>
      </c>
      <c r="D68" s="25" t="str">
        <f>IFERROR(__xludf.DUMMYFUNCTION("""COMPUTED_VALUE"""),"Within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E68" s="25"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F68" s="27"/>
      <c r="G68" s="4" t="str">
        <f>if(RDivergenciasJuiz = "first",RDivergenciasEspecifico1,if (RDivergenciasJuiz = "second",RDivergenciasEspecifico2, if (RDivergenciasEspecifico1 = "", RDivergenciasEspecifico2, RDivergenciasEspecifico1)))</f>
        <v>no</v>
      </c>
    </row>
    <row r="69">
      <c r="A69" s="27">
        <f>IFERROR(__xludf.DUMMYFUNCTION("""COMPUTED_VALUE"""),76.0)</f>
        <v>76</v>
      </c>
      <c r="B69" s="27" t="str">
        <f>IFERROR(__xludf.DUMMYFUNCTION("""COMPUTED_VALUE"""),"R1 / R2")</f>
        <v>R1 / R2</v>
      </c>
      <c r="C69" s="27" t="str">
        <f>IFERROR(__xludf.DUMMYFUNCTION("""COMPUTED_VALUE"""),"recommendation")</f>
        <v>recommendation</v>
      </c>
      <c r="D69" s="25" t="str">
        <f>IFERROR(__xludf.DUMMYFUNCTION("""COMPUTED_VALUE"""),"I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E69" s="25"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F69" s="27"/>
      <c r="G69" s="4" t="str">
        <f>if(RDivergenciasJuiz = "first",RDivergenciasEspecifico1,if (RDivergenciasJuiz = "second",RDivergenciasEspecifico2, if (RDivergenciasEspecifico1 = "", RDivergenciasEspecifico2, RDivergenciasEspecifico1)))</f>
        <v>yes</v>
      </c>
    </row>
    <row r="70">
      <c r="A70" s="27">
        <f>IFERROR(__xludf.DUMMYFUNCTION("""COMPUTED_VALUE"""),77.0)</f>
        <v>77</v>
      </c>
      <c r="B70" s="27" t="str">
        <f>IFERROR(__xludf.DUMMYFUNCTION("""COMPUTED_VALUE"""),"R1 / R3")</f>
        <v>R1 / R3</v>
      </c>
      <c r="C70" s="27" t="str">
        <f>IFERROR(__xludf.DUMMYFUNCTION("""COMPUTED_VALUE"""),"recommendation")</f>
        <v>recommendation</v>
      </c>
      <c r="D70" s="25" t="str">
        <f>IFERROR(__xludf.DUMMYFUNCTION("""COMPUTED_VALUE"""),"The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E70" s="25" t="str">
        <f>IFERROR(__xludf.DUMMYFUNCTION("""COMPUTED_VALUE"""),"Exercise as many tools as possible.")</f>
        <v>Exercise as many tools as possible.</v>
      </c>
      <c r="F70" s="27"/>
      <c r="G70" s="4" t="str">
        <f>if(RDivergenciasJuiz = "first",RDivergenciasEspecifico1,if (RDivergenciasJuiz = "second",RDivergenciasEspecifico2, if (RDivergenciasEspecifico1 = "", RDivergenciasEspecifico2, RDivergenciasEspecifico1)))</f>
        <v>no</v>
      </c>
    </row>
    <row r="71">
      <c r="A71" s="27">
        <f>IFERROR(__xludf.DUMMYFUNCTION("""COMPUTED_VALUE"""),78.0)</f>
        <v>78</v>
      </c>
      <c r="B71" s="27" t="str">
        <f>IFERROR(__xludf.DUMMYFUNCTION("""COMPUTED_VALUE"""),"R2 / R3")</f>
        <v>R2 / R3</v>
      </c>
      <c r="C71" s="27" t="str">
        <f>IFERROR(__xludf.DUMMYFUNCTION("""COMPUTED_VALUE"""),"recommendation")</f>
        <v>recommendation</v>
      </c>
      <c r="D71" s="25" t="str">
        <f>IFERROR(__xludf.DUMMYFUNCTION("""COMPUTED_VALUE"""),"Because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E71" s="25"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F71" s="27"/>
      <c r="G71" s="4" t="str">
        <f>if(RDivergenciasJuiz = "first",RDivergenciasEspecifico1,if (RDivergenciasJuiz = "second",RDivergenciasEspecifico2, if (RDivergenciasEspecifico1 = "", RDivergenciasEspecifico2, RDivergenciasEspecifico1)))</f>
        <v>yes</v>
      </c>
    </row>
    <row r="72">
      <c r="A72" s="27">
        <f>IFERROR(__xludf.DUMMYFUNCTION("""COMPUTED_VALUE"""),79.0)</f>
        <v>79</v>
      </c>
      <c r="B72" s="27" t="str">
        <f>IFERROR(__xludf.DUMMYFUNCTION("""COMPUTED_VALUE"""),"R1 / R2")</f>
        <v>R1 / R2</v>
      </c>
      <c r="C72" s="27" t="str">
        <f>IFERROR(__xludf.DUMMYFUNCTION("""COMPUTED_VALUE"""),"recommendation")</f>
        <v>recommendation</v>
      </c>
      <c r="D72" s="25" t="str">
        <f>IFERROR(__xludf.DUMMYFUNCTION("""COMPUTED_VALUE"""),"This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E72" s="25"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F72" s="27"/>
      <c r="G72" s="4" t="str">
        <f>if(RDivergenciasJuiz = "first",RDivergenciasEspecifico1,if (RDivergenciasJuiz = "second",RDivergenciasEspecifico2, if (RDivergenciasEspecifico1 = "", RDivergenciasEspecifico2, RDivergenciasEspecifico1)))</f>
        <v>no</v>
      </c>
    </row>
    <row r="73">
      <c r="A73" s="27">
        <f>IFERROR(__xludf.DUMMYFUNCTION("""COMPUTED_VALUE"""),80.0)</f>
        <v>80</v>
      </c>
      <c r="B73" s="27" t="str">
        <f>IFERROR(__xludf.DUMMYFUNCTION("""COMPUTED_VALUE"""),"R1 / R3")</f>
        <v>R1 / R3</v>
      </c>
      <c r="C73" s="27" t="str">
        <f>IFERROR(__xludf.DUMMYFUNCTION("""COMPUTED_VALUE"""),"recommendation")</f>
        <v>recommendation</v>
      </c>
      <c r="D73" s="25" t="str">
        <f>IFERROR(__xludf.DUMMYFUNCTION("""COMPUTED_VALUE"""),"Maybe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E73" s="25"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F73" s="27"/>
      <c r="G73" s="4" t="str">
        <f>if(RDivergenciasJuiz = "first",RDivergenciasEspecifico1,if (RDivergenciasJuiz = "second",RDivergenciasEspecifico2, if (RDivergenciasEspecifico1 = "", RDivergenciasEspecifico2, RDivergenciasEspecifico1)))</f>
        <v>no</v>
      </c>
    </row>
    <row r="74">
      <c r="A74" s="27">
        <f>IFERROR(__xludf.DUMMYFUNCTION("""COMPUTED_VALUE"""),81.0)</f>
        <v>81</v>
      </c>
      <c r="B74" s="27" t="str">
        <f>IFERROR(__xludf.DUMMYFUNCTION("""COMPUTED_VALUE"""),"R2 / R3")</f>
        <v>R2 / R3</v>
      </c>
      <c r="C74" s="27" t="str">
        <f>IFERROR(__xludf.DUMMYFUNCTION("""COMPUTED_VALUE"""),"recommendation")</f>
        <v>recommendation</v>
      </c>
      <c r="D74" s="25" t="str">
        <f>IFERROR(__xludf.DUMMYFUNCTION("""COMPUTED_VALUE"""),"You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E74" s="25"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F74" s="27"/>
      <c r="G74" s="4" t="str">
        <f>if(RDivergenciasJuiz = "first",RDivergenciasEspecifico1,if (RDivergenciasJuiz = "second",RDivergenciasEspecifico2, if (RDivergenciasEspecifico1 = "", RDivergenciasEspecifico2, RDivergenciasEspecifico1)))</f>
        <v>yes</v>
      </c>
    </row>
    <row r="75">
      <c r="A75" s="27">
        <f>IFERROR(__xludf.DUMMYFUNCTION("""COMPUTED_VALUE"""),82.0)</f>
        <v>82</v>
      </c>
      <c r="B75" s="27" t="str">
        <f>IFERROR(__xludf.DUMMYFUNCTION("""COMPUTED_VALUE"""),"R1 / R2")</f>
        <v>R1 / R2</v>
      </c>
      <c r="C75" s="27" t="str">
        <f>IFERROR(__xludf.DUMMYFUNCTION("""COMPUTED_VALUE"""),"recommendation")</f>
        <v>recommendation</v>
      </c>
      <c r="D75" s="25" t="str">
        <f>IFERROR(__xludf.DUMMYFUNCTION("""COMPUTED_VALUE"""),"Something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E75" s="25" t="str">
        <f>IFERROR(__xludf.DUMMYFUNCTION("""COMPUTED_VALUE"""),"Document the consulted material, facilitating future access.")</f>
        <v>Document the consulted material, facilitating future access.</v>
      </c>
      <c r="F75" s="27"/>
      <c r="G75" s="4" t="str">
        <f>if(RDivergenciasJuiz = "first",RDivergenciasEspecifico1,if (RDivergenciasJuiz = "second",RDivergenciasEspecifico2, if (RDivergenciasEspecifico1 = "", RDivergenciasEspecifico2, RDivergenciasEspecifico1)))</f>
        <v>no</v>
      </c>
    </row>
    <row r="76">
      <c r="A76" s="27">
        <f>IFERROR(__xludf.DUMMYFUNCTION("""COMPUTED_VALUE"""),83.0)</f>
        <v>83</v>
      </c>
      <c r="B76" s="27" t="str">
        <f>IFERROR(__xludf.DUMMYFUNCTION("""COMPUTED_VALUE"""),"R1 / R3")</f>
        <v>R1 / R3</v>
      </c>
      <c r="C76" s="27" t="str">
        <f>IFERROR(__xludf.DUMMYFUNCTION("""COMPUTED_VALUE"""),"recommendation")</f>
        <v>recommendation</v>
      </c>
      <c r="D76" s="25" t="str">
        <f>IFERROR(__xludf.DUMMYFUNCTION("""COMPUTED_VALUE"""),"For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E76" s="25"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F76" s="27"/>
      <c r="G76" s="4" t="str">
        <f>if(RDivergenciasJuiz = "first",RDivergenciasEspecifico1,if (RDivergenciasJuiz = "second",RDivergenciasEspecifico2, if (RDivergenciasEspecifico1 = "", RDivergenciasEspecifico2, RDivergenciasEspecifico1)))</f>
        <v>yes</v>
      </c>
    </row>
    <row r="77">
      <c r="A77" s="27">
        <f>IFERROR(__xludf.DUMMYFUNCTION("""COMPUTED_VALUE"""),84.0)</f>
        <v>84</v>
      </c>
      <c r="B77" s="27" t="str">
        <f>IFERROR(__xludf.DUMMYFUNCTION("""COMPUTED_VALUE"""),"R2 / R3")</f>
        <v>R2 / R3</v>
      </c>
      <c r="C77" s="27" t="str">
        <f>IFERROR(__xludf.DUMMYFUNCTION("""COMPUTED_VALUE"""),"recommendation")</f>
        <v>recommendation</v>
      </c>
      <c r="D77" s="25" t="str">
        <f>IFERROR(__xludf.DUMMYFUNCTION("""COMPUTED_VALUE"""),"Jenkins,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E77" s="25"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F77" s="27"/>
      <c r="G77" s="4" t="str">
        <f>if(RDivergenciasJuiz = "first",RDivergenciasEspecifico1,if (RDivergenciasJuiz = "second",RDivergenciasEspecifico2, if (RDivergenciasEspecifico1 = "", RDivergenciasEspecifico2, RDivergenciasEspecifico1)))</f>
        <v>yes</v>
      </c>
    </row>
    <row r="78">
      <c r="A78" s="27">
        <f>IFERROR(__xludf.DUMMYFUNCTION("""COMPUTED_VALUE"""),85.0)</f>
        <v>85</v>
      </c>
      <c r="B78" s="27" t="str">
        <f>IFERROR(__xludf.DUMMYFUNCTION("""COMPUTED_VALUE"""),"R1 / R2")</f>
        <v>R1 / R2</v>
      </c>
      <c r="C78" s="27" t="str">
        <f>IFERROR(__xludf.DUMMYFUNCTION("""COMPUTED_VALUE"""),"recommendation")</f>
        <v>recommendation</v>
      </c>
      <c r="D78" s="25" t="str">
        <f>IFERROR(__xludf.DUMMYFUNCTION("""COMPUTED_VALUE"""),"The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E78" s="25" t="str">
        <f>IFERROR(__xludf.DUMMYFUNCTION("""COMPUTED_VALUE"""),"Introduce students to minimal relevant tools and their tradeoffs.
Use few key tools.")</f>
        <v>Introduce students to minimal relevant tools and their tradeoffs.
Use few key tools.</v>
      </c>
      <c r="F78" s="27"/>
      <c r="G78" s="4" t="str">
        <f>if(RDivergenciasJuiz = "first",RDivergenciasEspecifico1,if (RDivergenciasJuiz = "second",RDivergenciasEspecifico2, if (RDivergenciasEspecifico1 = "", RDivergenciasEspecifico2, RDivergenciasEspecifico1)))</f>
        <v>yes</v>
      </c>
    </row>
    <row r="79">
      <c r="A79" s="27">
        <f>IFERROR(__xludf.DUMMYFUNCTION("""COMPUTED_VALUE"""),86.0)</f>
        <v>86</v>
      </c>
      <c r="B79" s="27" t="str">
        <f>IFERROR(__xludf.DUMMYFUNCTION("""COMPUTED_VALUE"""),"R1 / R3")</f>
        <v>R1 / R3</v>
      </c>
      <c r="C79" s="27" t="str">
        <f>IFERROR(__xludf.DUMMYFUNCTION("""COMPUTED_VALUE"""),"recommendation")</f>
        <v>recommendation</v>
      </c>
      <c r="D79" s="25" t="str">
        <f>IFERROR(__xludf.DUMMYFUNCTION("""COMPUTED_VALUE"""),"I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E79" s="25"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F79" s="27"/>
      <c r="G79" s="4" t="str">
        <f>if(RDivergenciasJuiz = "first",RDivergenciasEspecifico1,if (RDivergenciasJuiz = "second",RDivergenciasEspecifico2, if (RDivergenciasEspecifico1 = "", RDivergenciasEspecifico2, RDivergenciasEspecifico1)))</f>
        <v>yes</v>
      </c>
    </row>
    <row r="80">
      <c r="A80" s="27">
        <f>IFERROR(__xludf.DUMMYFUNCTION("""COMPUTED_VALUE"""),87.0)</f>
        <v>87</v>
      </c>
      <c r="B80" s="27" t="str">
        <f>IFERROR(__xludf.DUMMYFUNCTION("""COMPUTED_VALUE"""),"R2 / R3")</f>
        <v>R2 / R3</v>
      </c>
      <c r="C80" s="27" t="str">
        <f>IFERROR(__xludf.DUMMYFUNCTION("""COMPUTED_VALUE"""),"recommendation")</f>
        <v>recommendation</v>
      </c>
      <c r="D80" s="25" t="str">
        <f>IFERROR(__xludf.DUMMYFUNCTION("""COMPUTED_VALUE"""),"DevOps [...] In the specialization course [...] you can break all this content into more extensive disciplines.")</f>
        <v>DevOps [...] In the specialization course [...] you can break all this content into more extensive disciplines.</v>
      </c>
      <c r="E80" s="25" t="str">
        <f>IFERROR(__xludf.DUMMYFUNCTION("""COMPUTED_VALUE"""),"It is possible to break the teaching of DevOps into various disciplines in a DevOps specialization course.")</f>
        <v>It is possible to break the teaching of DevOps into various disciplines in a DevOps specialization course.</v>
      </c>
      <c r="F80" s="27"/>
      <c r="G80" s="4" t="str">
        <f>if(RDivergenciasJuiz = "first",RDivergenciasEspecifico1,if (RDivergenciasJuiz = "second",RDivergenciasEspecifico2, if (RDivergenciasEspecifico1 = "", RDivergenciasEspecifico2, RDivergenciasEspecifico1)))</f>
        <v>yes</v>
      </c>
    </row>
    <row r="81">
      <c r="A81" s="27">
        <f>IFERROR(__xludf.DUMMYFUNCTION("""COMPUTED_VALUE"""),88.0)</f>
        <v>88</v>
      </c>
      <c r="B81" s="27" t="str">
        <f>IFERROR(__xludf.DUMMYFUNCTION("""COMPUTED_VALUE"""),"R1 / R2")</f>
        <v>R1 / R2</v>
      </c>
      <c r="C81" s="27" t="str">
        <f>IFERROR(__xludf.DUMMYFUNCTION("""COMPUTED_VALUE"""),"recommendation")</f>
        <v>recommendation</v>
      </c>
      <c r="D81" s="25" t="str">
        <f>IFERROR(__xludf.DUMMYFUNCTION("""COMPUTED_VALUE"""),"So,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E81" s="25"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F81" s="27"/>
      <c r="G81" s="4" t="str">
        <f>if(RDivergenciasJuiz = "first",RDivergenciasEspecifico1,if (RDivergenciasJuiz = "second",RDivergenciasEspecifico2, if (RDivergenciasEspecifico1 = "", RDivergenciasEspecifico2, RDivergenciasEspecifico1)))</f>
        <v>yes</v>
      </c>
    </row>
    <row r="82">
      <c r="A82" s="27">
        <f>IFERROR(__xludf.DUMMYFUNCTION("""COMPUTED_VALUE"""),89.0)</f>
        <v>89</v>
      </c>
      <c r="B82" s="27" t="str">
        <f>IFERROR(__xludf.DUMMYFUNCTION("""COMPUTED_VALUE"""),"R1 / R3")</f>
        <v>R1 / R3</v>
      </c>
      <c r="C82" s="27" t="str">
        <f>IFERROR(__xludf.DUMMYFUNCTION("""COMPUTED_VALUE"""),"recommendation")</f>
        <v>recommendation</v>
      </c>
      <c r="D82" s="25" t="str">
        <f>IFERROR(__xludf.DUMMYFUNCTION("""COMPUTED_VALUE"""),"During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E82" s="25" t="str">
        <f>IFERROR(__xludf.DUMMYFUNCTION("""COMPUTED_VALUE"""),"Standardize the teaching material for all classes.")</f>
        <v>Standardize the teaching material for all classes.</v>
      </c>
      <c r="F82" s="27"/>
      <c r="G82" s="4" t="str">
        <f>if(RDivergenciasJuiz = "first",RDivergenciasEspecifico1,if (RDivergenciasJuiz = "second",RDivergenciasEspecifico2, if (RDivergenciasEspecifico1 = "", RDivergenciasEspecifico2, RDivergenciasEspecifico1)))</f>
        <v>no</v>
      </c>
    </row>
    <row r="83">
      <c r="A83" s="27">
        <f>IFERROR(__xludf.DUMMYFUNCTION("""COMPUTED_VALUE"""),90.0)</f>
        <v>90</v>
      </c>
      <c r="B83" s="27" t="str">
        <f>IFERROR(__xludf.DUMMYFUNCTION("""COMPUTED_VALUE"""),"R2 / R3")</f>
        <v>R2 / R3</v>
      </c>
      <c r="C83" s="27" t="str">
        <f>IFERROR(__xludf.DUMMYFUNCTION("""COMPUTED_VALUE"""),"recommendation")</f>
        <v>recommendation</v>
      </c>
      <c r="D83" s="25" t="str">
        <f>IFERROR(__xludf.DUMMYFUNCTION("""COMPUTED_VALUE"""),"Training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E83" s="25" t="str">
        <f>IFERROR(__xludf.DUMMYFUNCTION("""COMPUTED_VALUE"""),"It is necessary to choose which topics and tools are essential as the course time is limited.")</f>
        <v>It is necessary to choose which topics and tools are essential as the course time is limited.</v>
      </c>
      <c r="F83" s="27"/>
      <c r="G83" s="4" t="str">
        <f>if(RDivergenciasJuiz = "first",RDivergenciasEspecifico1,if (RDivergenciasJuiz = "second",RDivergenciasEspecifico2, if (RDivergenciasEspecifico1 = "", RDivergenciasEspecifico2, RDivergenciasEspecifico1)))</f>
        <v>no</v>
      </c>
    </row>
    <row r="84">
      <c r="A84" s="27">
        <f>IFERROR(__xludf.DUMMYFUNCTION("""COMPUTED_VALUE"""),91.0)</f>
        <v>91</v>
      </c>
      <c r="B84" s="27" t="str">
        <f>IFERROR(__xludf.DUMMYFUNCTION("""COMPUTED_VALUE"""),"R1 / R2")</f>
        <v>R1 / R2</v>
      </c>
      <c r="C84" s="27" t="str">
        <f>IFERROR(__xludf.DUMMYFUNCTION("""COMPUTED_VALUE"""),"recommendation")</f>
        <v>recommendation</v>
      </c>
      <c r="D84" s="25" t="str">
        <f>IFERROR(__xludf.DUMMYFUNCTION("""COMPUTED_VALUE"""),"the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E84" s="25"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F84" s="27"/>
      <c r="G84" s="4" t="str">
        <f>if(RDivergenciasJuiz = "first",RDivergenciasEspecifico1,if (RDivergenciasJuiz = "second",RDivergenciasEspecifico2, if (RDivergenciasEspecifico1 = "", RDivergenciasEspecifico2, RDivergenciasEspecifico1)))</f>
        <v>no</v>
      </c>
    </row>
    <row r="85">
      <c r="A85" s="27">
        <f>IFERROR(__xludf.DUMMYFUNCTION("""COMPUTED_VALUE"""),94.0)</f>
        <v>94</v>
      </c>
      <c r="B85" s="27" t="str">
        <f>IFERROR(__xludf.DUMMYFUNCTION("""COMPUTED_VALUE"""),"R1 / R3")</f>
        <v>R1 / R3</v>
      </c>
      <c r="C85" s="27" t="str">
        <f>IFERROR(__xludf.DUMMYFUNCTION("""COMPUTED_VALUE"""),"recommendation")</f>
        <v>recommendation</v>
      </c>
      <c r="D85" s="25" t="str">
        <f>IFERROR(__xludf.DUMMYFUNCTION("""COMPUTED_VALUE"""),"Which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E85" s="25"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F85" s="27"/>
      <c r="G85" s="4" t="str">
        <f>if(RDivergenciasJuiz = "first",RDivergenciasEspecifico1,if (RDivergenciasJuiz = "second",RDivergenciasEspecifico2, if (RDivergenciasEspecifico1 = "", RDivergenciasEspecifico2, RDivergenciasEspecifico1)))</f>
        <v>yes</v>
      </c>
    </row>
    <row r="86">
      <c r="A86" s="27">
        <f>IFERROR(__xludf.DUMMYFUNCTION("""COMPUTED_VALUE"""),92.0)</f>
        <v>92</v>
      </c>
      <c r="B86" s="27" t="str">
        <f>IFERROR(__xludf.DUMMYFUNCTION("""COMPUTED_VALUE"""),"R1 / R3")</f>
        <v>R1 / R3</v>
      </c>
      <c r="C86" s="27" t="str">
        <f>IFERROR(__xludf.DUMMYFUNCTION("""COMPUTED_VALUE"""),"recommendation")</f>
        <v>recommendation</v>
      </c>
      <c r="D86" s="25" t="str">
        <f>IFERROR(__xludf.DUMMYFUNCTION("""COMPUTED_VALUE"""),"Of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E86" s="25"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F86" s="27"/>
      <c r="G86" s="4" t="str">
        <f>if(RDivergenciasJuiz = "first",RDivergenciasEspecifico1,if (RDivergenciasJuiz = "second",RDivergenciasEspecifico2, if (RDivergenciasEspecifico1 = "", RDivergenciasEspecifico2, RDivergenciasEspecifico1)))</f>
        <v>yes</v>
      </c>
    </row>
    <row r="87">
      <c r="A87" s="27">
        <f>IFERROR(__xludf.DUMMYFUNCTION("""COMPUTED_VALUE"""),93.0)</f>
        <v>93</v>
      </c>
      <c r="B87" s="27" t="str">
        <f>IFERROR(__xludf.DUMMYFUNCTION("""COMPUTED_VALUE"""),"R2 / R3")</f>
        <v>R2 / R3</v>
      </c>
      <c r="C87" s="27" t="str">
        <f>IFERROR(__xludf.DUMMYFUNCTION("""COMPUTED_VALUE"""),"recommendation")</f>
        <v>recommendation</v>
      </c>
      <c r="D87" s="25" t="str">
        <f>IFERROR(__xludf.DUMMYFUNCTION("""COMPUTED_VALUE"""),"So, we ended up choosing Java because it is the greatest strength; ours, that was Java.")</f>
        <v>So, we ended up choosing Java because it is the greatest strength; ours, that was Java.</v>
      </c>
      <c r="E87" s="25" t="str">
        <f>IFERROR(__xludf.DUMMYFUNCTION("""COMPUTED_VALUE"""),"Use a programming language that the teacher knows.")</f>
        <v>Use a programming language that the teacher knows.</v>
      </c>
      <c r="F87" s="27"/>
      <c r="G87" s="4" t="str">
        <f>if(RDivergenciasJuiz = "first",RDivergenciasEspecifico1,if (RDivergenciasJuiz = "second",RDivergenciasEspecifico2, if (RDivergenciasEspecifico1 = "", RDivergenciasEspecifico2, RDivergenciasEspecifico1)))</f>
        <v>no</v>
      </c>
    </row>
    <row r="88">
      <c r="A88" s="27">
        <f>IFERROR(__xludf.DUMMYFUNCTION("""COMPUTED_VALUE"""),95.0)</f>
        <v>95</v>
      </c>
      <c r="B88" s="27" t="str">
        <f>IFERROR(__xludf.DUMMYFUNCTION("""COMPUTED_VALUE"""),"R1 / R3")</f>
        <v>R1 / R3</v>
      </c>
      <c r="C88" s="27" t="str">
        <f>IFERROR(__xludf.DUMMYFUNCTION("""COMPUTED_VALUE"""),"recommendation")</f>
        <v>recommendation</v>
      </c>
      <c r="D88" s="25" t="str">
        <f>IFERROR(__xludf.DUMMYFUNCTION("""COMPUTED_VALUE"""),"We don't evaluate, [...] but we keep observing, right, the students, and such throughout the training.")</f>
        <v>We don't evaluate, [...] but we keep observing, right, the students, and such throughout the training.</v>
      </c>
      <c r="E88" s="25" t="str">
        <f>IFERROR(__xludf.DUMMYFUNCTION("""COMPUTED_VALUE"""),"Monitor student progress throughout training by conducting a traditional assessment.")</f>
        <v>Monitor student progress throughout training by conducting a traditional assessment.</v>
      </c>
      <c r="F88" s="27"/>
      <c r="G88" s="4" t="str">
        <f>if(RDivergenciasJuiz = "first",RDivergenciasEspecifico1,if (RDivergenciasJuiz = "second",RDivergenciasEspecifico2, if (RDivergenciasEspecifico1 = "", RDivergenciasEspecifico2, RDivergenciasEspecifico1)))</f>
        <v>no</v>
      </c>
    </row>
    <row r="89">
      <c r="A89" s="27">
        <f>IFERROR(__xludf.DUMMYFUNCTION("""COMPUTED_VALUE"""),96.0)</f>
        <v>96</v>
      </c>
      <c r="B89" s="27" t="str">
        <f>IFERROR(__xludf.DUMMYFUNCTION("""COMPUTED_VALUE"""),"R2 / R3")</f>
        <v>R2 / R3</v>
      </c>
      <c r="C89" s="27" t="str">
        <f>IFERROR(__xludf.DUMMYFUNCTION("""COMPUTED_VALUE"""),"recommendation")</f>
        <v>recommendation</v>
      </c>
      <c r="D89" s="25" t="str">
        <f>IFERROR(__xludf.DUMMYFUNCTION("""COMPUTED_VALUE"""),"One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E89" s="25"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F89" s="27"/>
      <c r="G89" s="4" t="str">
        <f>if(RDivergenciasJuiz = "first",RDivergenciasEspecifico1,if (RDivergenciasJuiz = "second",RDivergenciasEspecifico2, if (RDivergenciasEspecifico1 = "", RDivergenciasEspecifico2, RDivergenciasEspecifico1)))</f>
        <v>yes</v>
      </c>
    </row>
    <row r="90">
      <c r="A90" s="27">
        <f>IFERROR(__xludf.DUMMYFUNCTION("""COMPUTED_VALUE"""),97.0)</f>
        <v>97</v>
      </c>
      <c r="B90" s="27" t="str">
        <f>IFERROR(__xludf.DUMMYFUNCTION("""COMPUTED_VALUE"""),"R1 / R2")</f>
        <v>R1 / R2</v>
      </c>
      <c r="C90" s="27" t="str">
        <f>IFERROR(__xludf.DUMMYFUNCTION("""COMPUTED_VALUE"""),"recommendation")</f>
        <v>recommendation</v>
      </c>
      <c r="D90" s="25" t="str">
        <f>IFERROR(__xludf.DUMMYFUNCTION("""COMPUTED_VALUE"""),"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E90" s="25"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F90" s="27"/>
      <c r="G90" s="4" t="str">
        <f>if(RDivergenciasJuiz = "first",RDivergenciasEspecifico1,if (RDivergenciasJuiz = "second",RDivergenciasEspecifico2, if (RDivergenciasEspecifico1 = "", RDivergenciasEspecifico2, RDivergenciasEspecifico1)))</f>
        <v>yes</v>
      </c>
    </row>
    <row r="91">
      <c r="A91" s="27">
        <f>IFERROR(__xludf.DUMMYFUNCTION("""COMPUTED_VALUE"""),98.0)</f>
        <v>98</v>
      </c>
      <c r="B91" s="27" t="str">
        <f>IFERROR(__xludf.DUMMYFUNCTION("""COMPUTED_VALUE"""),"R1 / R3")</f>
        <v>R1 / R3</v>
      </c>
      <c r="C91" s="27" t="str">
        <f>IFERROR(__xludf.DUMMYFUNCTION("""COMPUTED_VALUE"""),"recommendation")</f>
        <v>recommendation</v>
      </c>
      <c r="D91" s="25" t="str">
        <f>IFERROR(__xludf.DUMMYFUNCTION("""COMPUTED_VALUE"""),"To get Everything ready to avoid problems and lose the focus and essence of the group.")</f>
        <v>To get Everything ready to avoid problems and lose the focus and essence of the group.</v>
      </c>
      <c r="E91" s="25" t="str">
        <f>IFERROR(__xludf.DUMMYFUNCTION("""COMPUTED_VALUE"""),"Start a class with a pre-organized structure.")</f>
        <v>Start a class with a pre-organized structure.</v>
      </c>
      <c r="F91" s="27"/>
      <c r="G91" s="4" t="str">
        <f>if(RDivergenciasJuiz = "first",RDivergenciasEspecifico1,if (RDivergenciasJuiz = "second",RDivergenciasEspecifico2, if (RDivergenciasEspecifico1 = "", RDivergenciasEspecifico2, RDivergenciasEspecifico1)))</f>
        <v>no</v>
      </c>
    </row>
    <row r="92">
      <c r="A92" s="27">
        <f>IFERROR(__xludf.DUMMYFUNCTION("""COMPUTED_VALUE"""),100.0)</f>
        <v>100</v>
      </c>
      <c r="B92" s="27" t="str">
        <f>IFERROR(__xludf.DUMMYFUNCTION("""COMPUTED_VALUE"""),"R1 / R2")</f>
        <v>R1 / R2</v>
      </c>
      <c r="C92" s="27" t="str">
        <f>IFERROR(__xludf.DUMMYFUNCTION("""COMPUTED_VALUE"""),"recommendation")</f>
        <v>recommendation</v>
      </c>
      <c r="D92" s="25" t="str">
        <f>IFERROR(__xludf.DUMMYFUNCTION("""COMPUTED_VALUE"""),"Working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E92" s="25"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F92" s="27"/>
      <c r="G92" s="4" t="str">
        <f>if(RDivergenciasJuiz = "first",RDivergenciasEspecifico1,if (RDivergenciasJuiz = "second",RDivergenciasEspecifico2, if (RDivergenciasEspecifico1 = "", RDivergenciasEspecifico2, RDivergenciasEspecifico1)))</f>
        <v>yes</v>
      </c>
    </row>
    <row r="93">
      <c r="A93" s="27">
        <f>IFERROR(__xludf.DUMMYFUNCTION("""COMPUTED_VALUE"""),103.0)</f>
        <v>103</v>
      </c>
      <c r="B93" s="27" t="str">
        <f>IFERROR(__xludf.DUMMYFUNCTION("""COMPUTED_VALUE"""),"R1 / R2")</f>
        <v>R1 / R2</v>
      </c>
      <c r="C93" s="27" t="str">
        <f>IFERROR(__xludf.DUMMYFUNCTION("""COMPUTED_VALUE"""),"recommendation")</f>
        <v>recommendation</v>
      </c>
      <c r="D93" s="25" t="str">
        <f>IFERROR(__xludf.DUMMYFUNCTION("""COMPUTED_VALUE"""),"To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E93" s="25" t="str">
        <f>IFERROR(__xludf.DUMMYFUNCTION("""COMPUTED_VALUE"""),"Make use of the Comprehensive Distance Learning (CDL) teaching methodology.")</f>
        <v>Make use of the Comprehensive Distance Learning (CDL) teaching methodology.</v>
      </c>
      <c r="F93" s="27"/>
      <c r="G93" s="4" t="str">
        <f>if(RDivergenciasJuiz = "first",RDivergenciasEspecifico1,if (RDivergenciasJuiz = "second",RDivergenciasEspecifico2, if (RDivergenciasEspecifico1 = "", RDivergenciasEspecifico2, RDivergenciasEspecifico1)))</f>
        <v>no</v>
      </c>
    </row>
    <row r="94">
      <c r="A94" s="27">
        <f>IFERROR(__xludf.DUMMYFUNCTION("""COMPUTED_VALUE"""),104.0)</f>
        <v>104</v>
      </c>
      <c r="B94" s="27" t="str">
        <f>IFERROR(__xludf.DUMMYFUNCTION("""COMPUTED_VALUE"""),"R1 / R3")</f>
        <v>R1 / R3</v>
      </c>
      <c r="C94" s="27" t="str">
        <f>IFERROR(__xludf.DUMMYFUNCTION("""COMPUTED_VALUE"""),"recommendation")</f>
        <v>recommendation</v>
      </c>
      <c r="D94" s="25" t="str">
        <f>IFERROR(__xludf.DUMMYFUNCTION("""COMPUTED_VALUE"""),"DevOps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E94" s="25"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F94" s="27"/>
      <c r="G94" s="4" t="str">
        <f>if(RDivergenciasJuiz = "first",RDivergenciasEspecifico1,if (RDivergenciasJuiz = "second",RDivergenciasEspecifico2, if (RDivergenciasEspecifico1 = "", RDivergenciasEspecifico2, RDivergenciasEspecifico1)))</f>
        <v>yes</v>
      </c>
    </row>
    <row r="95">
      <c r="A95" s="27">
        <f>IFERROR(__xludf.DUMMYFUNCTION("""COMPUTED_VALUE"""),105.0)</f>
        <v>105</v>
      </c>
      <c r="B95" s="27" t="str">
        <f>IFERROR(__xludf.DUMMYFUNCTION("""COMPUTED_VALUE"""),"R2 / R3")</f>
        <v>R2 / R3</v>
      </c>
      <c r="C95" s="27" t="str">
        <f>IFERROR(__xludf.DUMMYFUNCTION("""COMPUTED_VALUE"""),"recommendation")</f>
        <v>recommendation</v>
      </c>
      <c r="D95" s="25" t="str">
        <f>IFERROR(__xludf.DUMMYFUNCTION("""COMPUTED_VALUE"""),"I usually study the subject to understand and then see the best way to explain that subject.")</f>
        <v>I usually study the subject to understand and then see the best way to explain that subject.</v>
      </c>
      <c r="E95" s="25" t="str">
        <f>IFERROR(__xludf.DUMMYFUNCTION("""COMPUTED_VALUE"""),"Study the subject thoroughly before preparing for classes.")</f>
        <v>Study the subject thoroughly before preparing for classes.</v>
      </c>
      <c r="F95" s="27"/>
      <c r="G95" s="4" t="str">
        <f>if(RDivergenciasJuiz = "first",RDivergenciasEspecifico1,if (RDivergenciasJuiz = "second",RDivergenciasEspecifico2, if (RDivergenciasEspecifico1 = "", RDivergenciasEspecifico2, RDivergenciasEspecifico1)))</f>
        <v>no</v>
      </c>
    </row>
    <row r="96">
      <c r="A96" s="27">
        <f>IFERROR(__xludf.DUMMYFUNCTION("""COMPUTED_VALUE"""),106.0)</f>
        <v>106</v>
      </c>
      <c r="B96" s="27" t="str">
        <f>IFERROR(__xludf.DUMMYFUNCTION("""COMPUTED_VALUE"""),"R1 / R2")</f>
        <v>R1 / R2</v>
      </c>
      <c r="C96" s="27" t="str">
        <f>IFERROR(__xludf.DUMMYFUNCTION("""COMPUTED_VALUE"""),"recommendation")</f>
        <v>recommendation</v>
      </c>
      <c r="D96" s="25" t="str">
        <f>IFERROR(__xludf.DUMMYFUNCTION("""COMPUTED_VALUE"""),"You propose the dynamics and have these things move the group because otherwise, it gets so dull.")</f>
        <v>You propose the dynamics and have these things move the group because otherwise, it gets so dull.</v>
      </c>
      <c r="E96" s="25" t="str">
        <f>IFERROR(__xludf.DUMMYFUNCTION("""COMPUTED_VALUE"""),"Use dynamics to inspire the class.")</f>
        <v>Use dynamics to inspire the class.</v>
      </c>
      <c r="F96" s="27"/>
      <c r="G96" s="4" t="str">
        <f>if(RDivergenciasJuiz = "first",RDivergenciasEspecifico1,if (RDivergenciasJuiz = "second",RDivergenciasEspecifico2, if (RDivergenciasEspecifico1 = "", RDivergenciasEspecifico2, RDivergenciasEspecifico1)))</f>
        <v>no</v>
      </c>
    </row>
    <row r="97">
      <c r="A97" s="27">
        <f>IFERROR(__xludf.DUMMYFUNCTION("""COMPUTED_VALUE"""),108.0)</f>
        <v>108</v>
      </c>
      <c r="B97" s="27" t="str">
        <f>IFERROR(__xludf.DUMMYFUNCTION("""COMPUTED_VALUE"""),"R2 / R3")</f>
        <v>R2 / R3</v>
      </c>
      <c r="C97" s="27" t="str">
        <f>IFERROR(__xludf.DUMMYFUNCTION("""COMPUTED_VALUE"""),"recommendation")</f>
        <v>recommendation</v>
      </c>
      <c r="D97" s="25" t="str">
        <f>IFERROR(__xludf.DUMMYFUNCTION("""COMPUTED_VALUE"""),"I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E97" s="25"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F97" s="27"/>
      <c r="G97" s="4" t="str">
        <f>if(RDivergenciasJuiz = "first",RDivergenciasEspecifico1,if (RDivergenciasJuiz = "second",RDivergenciasEspecifico2, if (RDivergenciasEspecifico1 = "", RDivergenciasEspecifico2, RDivergenciasEspecifico1)))</f>
        <v>yes</v>
      </c>
    </row>
    <row r="98">
      <c r="A98" s="27">
        <f>IFERROR(__xludf.DUMMYFUNCTION("""COMPUTED_VALUE"""),109.0)</f>
        <v>109</v>
      </c>
      <c r="B98" s="27" t="str">
        <f>IFERROR(__xludf.DUMMYFUNCTION("""COMPUTED_VALUE"""),"R1 / R2")</f>
        <v>R1 / R2</v>
      </c>
      <c r="C98" s="27" t="str">
        <f>IFERROR(__xludf.DUMMYFUNCTION("""COMPUTED_VALUE"""),"recommendation")</f>
        <v>recommendation</v>
      </c>
      <c r="D98" s="25" t="str">
        <f>IFERROR(__xludf.DUMMYFUNCTION("""COMPUTED_VALUE"""),"Some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E98" s="25"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F98" s="27"/>
      <c r="G98" s="4" t="str">
        <f>if(RDivergenciasJuiz = "first",RDivergenciasEspecifico1,if (RDivergenciasJuiz = "second",RDivergenciasEspecifico2, if (RDivergenciasEspecifico1 = "", RDivergenciasEspecifico2, RDivergenciasEspecifico1)))</f>
        <v>no</v>
      </c>
    </row>
    <row r="99">
      <c r="A99" s="27">
        <f>IFERROR(__xludf.DUMMYFUNCTION("""COMPUTED_VALUE"""),110.0)</f>
        <v>110</v>
      </c>
      <c r="B99" s="27" t="str">
        <f>IFERROR(__xludf.DUMMYFUNCTION("""COMPUTED_VALUE"""),"R1 / R3")</f>
        <v>R1 / R3</v>
      </c>
      <c r="C99" s="27" t="str">
        <f>IFERROR(__xludf.DUMMYFUNCTION("""COMPUTED_VALUE"""),"recommendation")</f>
        <v>recommendation</v>
      </c>
      <c r="D99" s="25" t="str">
        <f>IFERROR(__xludf.DUMMYFUNCTION("""COMPUTED_VALUE"""),"Because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E99" s="25"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F99" s="27"/>
      <c r="G99" s="4" t="str">
        <f>if(RDivergenciasJuiz = "first",RDivergenciasEspecifico1,if (RDivergenciasJuiz = "second",RDivergenciasEspecifico2, if (RDivergenciasEspecifico1 = "", RDivergenciasEspecifico2, RDivergenciasEspecifico1)))</f>
        <v>no</v>
      </c>
    </row>
    <row r="100">
      <c r="A100" s="27">
        <f>IFERROR(__xludf.DUMMYFUNCTION("""COMPUTED_VALUE"""),111.0)</f>
        <v>111</v>
      </c>
      <c r="B100" s="27" t="str">
        <f>IFERROR(__xludf.DUMMYFUNCTION("""COMPUTED_VALUE"""),"R2 / R3")</f>
        <v>R2 / R3</v>
      </c>
      <c r="C100" s="27" t="str">
        <f>IFERROR(__xludf.DUMMYFUNCTION("""COMPUTED_VALUE"""),"recommendation")</f>
        <v>recommendation</v>
      </c>
      <c r="D100" s="25" t="str">
        <f>IFERROR(__xludf.DUMMYFUNCTION("""COMPUTED_VALUE"""),"I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E100" s="25"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F100" s="27"/>
      <c r="G100" s="4" t="str">
        <f>if(RDivergenciasJuiz = "first",RDivergenciasEspecifico1,if (RDivergenciasJuiz = "second",RDivergenciasEspecifico2, if (RDivergenciasEspecifico1 = "", RDivergenciasEspecifico2, RDivergenciasEspecifico1)))</f>
        <v>yes</v>
      </c>
    </row>
    <row r="101">
      <c r="A101" s="27">
        <f>IFERROR(__xludf.DUMMYFUNCTION("""COMPUTED_VALUE"""),112.0)</f>
        <v>112</v>
      </c>
      <c r="B101" s="27" t="str">
        <f>IFERROR(__xludf.DUMMYFUNCTION("""COMPUTED_VALUE"""),"R1 / R2")</f>
        <v>R1 / R2</v>
      </c>
      <c r="C101" s="27" t="str">
        <f>IFERROR(__xludf.DUMMYFUNCTION("""COMPUTED_VALUE"""),"recommendation")</f>
        <v>recommendation</v>
      </c>
      <c r="D101" s="25" t="str">
        <f>IFERROR(__xludf.DUMMYFUNCTION("""COMPUTED_VALUE"""),"PBL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E101" s="25"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F101" s="27"/>
      <c r="G101" s="4" t="str">
        <f>if(RDivergenciasJuiz = "first",RDivergenciasEspecifico1,if (RDivergenciasJuiz = "second",RDivergenciasEspecifico2, if (RDivergenciasEspecifico1 = "", RDivergenciasEspecifico2, RDivergenciasEspecifico1)))</f>
        <v>yes</v>
      </c>
    </row>
    <row r="102">
      <c r="A102" s="27">
        <f>IFERROR(__xludf.DUMMYFUNCTION("""COMPUTED_VALUE"""),113.0)</f>
        <v>113</v>
      </c>
      <c r="B102" s="27" t="str">
        <f>IFERROR(__xludf.DUMMYFUNCTION("""COMPUTED_VALUE"""),"R1 / R3")</f>
        <v>R1 / R3</v>
      </c>
      <c r="C102" s="27" t="str">
        <f>IFERROR(__xludf.DUMMYFUNCTION("""COMPUTED_VALUE"""),"recommendation")</f>
        <v>recommendation</v>
      </c>
      <c r="D102" s="25" t="str">
        <f>IFERROR(__xludf.DUMMYFUNCTION("""COMPUTED_VALUE"""),"Today,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E102" s="25" t="str">
        <f>IFERROR(__xludf.DUMMYFUNCTION("""COMPUTED_VALUE"""),"Merge good practices of Problem-Based Learning (PBL), inverted class and Agile, through classroom experimentation.")</f>
        <v>Merge good practices of Problem-Based Learning (PBL), inverted class and Agile, through classroom experimentation.</v>
      </c>
      <c r="F102" s="27"/>
      <c r="G102" s="4" t="str">
        <f>if(RDivergenciasJuiz = "first",RDivergenciasEspecifico1,if (RDivergenciasJuiz = "second",RDivergenciasEspecifico2, if (RDivergenciasEspecifico1 = "", RDivergenciasEspecifico2, RDivergenciasEspecifico1)))</f>
        <v>no</v>
      </c>
    </row>
    <row r="103">
      <c r="A103" s="27">
        <f>IFERROR(__xludf.DUMMYFUNCTION("""COMPUTED_VALUE"""),114.0)</f>
        <v>114</v>
      </c>
      <c r="B103" s="27" t="str">
        <f>IFERROR(__xludf.DUMMYFUNCTION("""COMPUTED_VALUE"""),"R1 / R2")</f>
        <v>R1 / R2</v>
      </c>
      <c r="C103" s="27" t="str">
        <f>IFERROR(__xludf.DUMMYFUNCTION("""COMPUTED_VALUE"""),"recommendation")</f>
        <v>recommendation</v>
      </c>
      <c r="D103" s="25" t="str">
        <f>IFERROR(__xludf.DUMMYFUNCTION("""COMPUTED_VALUE"""),"I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E103" s="25"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F103" s="27"/>
      <c r="G103" s="4" t="str">
        <f>if(RDivergenciasJuiz = "first",RDivergenciasEspecifico1,if (RDivergenciasJuiz = "second",RDivergenciasEspecifico2, if (RDivergenciasEspecifico1 = "", RDivergenciasEspecifico2, RDivergenciasEspecifico1)))</f>
        <v>no</v>
      </c>
    </row>
    <row r="104">
      <c r="A104" s="27">
        <f>IFERROR(__xludf.DUMMYFUNCTION("""COMPUTED_VALUE"""),115.0)</f>
        <v>115</v>
      </c>
      <c r="B104" s="27" t="str">
        <f>IFERROR(__xludf.DUMMYFUNCTION("""COMPUTED_VALUE"""),"R1 / R3")</f>
        <v>R1 / R3</v>
      </c>
      <c r="C104" s="27" t="str">
        <f>IFERROR(__xludf.DUMMYFUNCTION("""COMPUTED_VALUE"""),"recommendation")</f>
        <v>recommendation</v>
      </c>
      <c r="D104" s="25" t="str">
        <f>IFERROR(__xludf.DUMMYFUNCTION("""COMPUTED_VALUE"""),"And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E104" s="25"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F104" s="27"/>
      <c r="G104" s="4" t="str">
        <f>if(RDivergenciasJuiz = "first",RDivergenciasEspecifico1,if (RDivergenciasJuiz = "second",RDivergenciasEspecifico2, if (RDivergenciasEspecifico1 = "", RDivergenciasEspecifico2, RDivergenciasEspecifico1)))</f>
        <v>no</v>
      </c>
    </row>
    <row r="105">
      <c r="A105" s="27">
        <f>IFERROR(__xludf.DUMMYFUNCTION("""COMPUTED_VALUE"""),116.0)</f>
        <v>116</v>
      </c>
      <c r="B105" s="27" t="str">
        <f>IFERROR(__xludf.DUMMYFUNCTION("""COMPUTED_VALUE"""),"R2 / R3")</f>
        <v>R2 / R3</v>
      </c>
      <c r="C105" s="27" t="str">
        <f>IFERROR(__xludf.DUMMYFUNCTION("""COMPUTED_VALUE"""),"recommendation")</f>
        <v>recommendation</v>
      </c>
      <c r="D105" s="25" t="str">
        <f>IFERROR(__xludf.DUMMYFUNCTION("""COMPUTED_VALUE"""),"Those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E105" s="25"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F105" s="27"/>
      <c r="G105" s="4" t="str">
        <f>if(RDivergenciasJuiz = "first",RDivergenciasEspecifico1,if (RDivergenciasJuiz = "second",RDivergenciasEspecifico2, if (RDivergenciasEspecifico1 = "", RDivergenciasEspecifico2, RDivergenciasEspecifico1)))</f>
        <v>yes</v>
      </c>
    </row>
    <row r="106">
      <c r="A106" s="27">
        <f>IFERROR(__xludf.DUMMYFUNCTION("""COMPUTED_VALUE"""),117.0)</f>
        <v>117</v>
      </c>
      <c r="B106" s="27" t="str">
        <f>IFERROR(__xludf.DUMMYFUNCTION("""COMPUTED_VALUE"""),"R1 / R2")</f>
        <v>R1 / R2</v>
      </c>
      <c r="C106" s="27" t="str">
        <f>IFERROR(__xludf.DUMMYFUNCTION("""COMPUTED_VALUE"""),"recommendation")</f>
        <v>recommendation</v>
      </c>
      <c r="D106" s="25" t="str">
        <f>IFERROR(__xludf.DUMMYFUNCTION("""COMPUTED_VALUE"""),"I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E106" s="25"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F106" s="27"/>
      <c r="G106" s="4" t="str">
        <f>if(RDivergenciasJuiz = "first",RDivergenciasEspecifico1,if (RDivergenciasJuiz = "second",RDivergenciasEspecifico2, if (RDivergenciasEspecifico1 = "", RDivergenciasEspecifico2, RDivergenciasEspecifico1)))</f>
        <v>no</v>
      </c>
    </row>
    <row r="107">
      <c r="A107" s="27">
        <f>IFERROR(__xludf.DUMMYFUNCTION("""COMPUTED_VALUE"""),118.0)</f>
        <v>118</v>
      </c>
      <c r="B107" s="27" t="str">
        <f>IFERROR(__xludf.DUMMYFUNCTION("""COMPUTED_VALUE"""),"R1 / R3")</f>
        <v>R1 / R3</v>
      </c>
      <c r="C107" s="27" t="str">
        <f>IFERROR(__xludf.DUMMYFUNCTION("""COMPUTED_VALUE"""),"recommendation")</f>
        <v>recommendation</v>
      </c>
      <c r="D107" s="25" t="str">
        <f>IFERROR(__xludf.DUMMYFUNCTION("""COMPUTED_VALUE"""),"I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E107" s="25"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F107" s="27"/>
      <c r="G107" s="4" t="str">
        <f>if(RDivergenciasJuiz = "first",RDivergenciasEspecifico1,if (RDivergenciasJuiz = "second",RDivergenciasEspecifico2, if (RDivergenciasEspecifico1 = "", RDivergenciasEspecifico2, RDivergenciasEspecifico1)))</f>
        <v>no</v>
      </c>
    </row>
    <row r="108">
      <c r="A108" s="27">
        <f>IFERROR(__xludf.DUMMYFUNCTION("""COMPUTED_VALUE"""),119.0)</f>
        <v>119</v>
      </c>
      <c r="B108" s="27" t="str">
        <f>IFERROR(__xludf.DUMMYFUNCTION("""COMPUTED_VALUE"""),"R2 / R3")</f>
        <v>R2 / R3</v>
      </c>
      <c r="C108" s="27" t="str">
        <f>IFERROR(__xludf.DUMMYFUNCTION("""COMPUTED_VALUE"""),"recommendation")</f>
        <v>recommendation</v>
      </c>
      <c r="D108" s="25" t="str">
        <f>IFERROR(__xludf.DUMMYFUNCTION("""COMPUTED_VALUE"""),"I'll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E108" s="25"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F108" s="27"/>
      <c r="G108" s="4" t="str">
        <f>if(RDivergenciasJuiz = "first",RDivergenciasEspecifico1,if (RDivergenciasJuiz = "second",RDivergenciasEspecifico2, if (RDivergenciasEspecifico1 = "", RDivergenciasEspecifico2, RDivergenciasEspecifico1)))</f>
        <v>yes</v>
      </c>
    </row>
    <row r="109">
      <c r="A109" s="27">
        <f>IFERROR(__xludf.DUMMYFUNCTION("""COMPUTED_VALUE"""),120.0)</f>
        <v>120</v>
      </c>
      <c r="B109" s="27" t="str">
        <f>IFERROR(__xludf.DUMMYFUNCTION("""COMPUTED_VALUE"""),"R1 / R2")</f>
        <v>R1 / R2</v>
      </c>
      <c r="C109" s="27" t="str">
        <f>IFERROR(__xludf.DUMMYFUNCTION("""COMPUTED_VALUE"""),"recommendation")</f>
        <v>recommendation</v>
      </c>
      <c r="D109" s="25" t="str">
        <f>IFERROR(__xludf.DUMMYFUNCTION("""COMPUTED_VALUE"""),"So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E109" s="25"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F109" s="27"/>
      <c r="G109" s="4" t="str">
        <f>if(RDivergenciasJuiz = "first",RDivergenciasEspecifico1,if (RDivergenciasJuiz = "second",RDivergenciasEspecifico2, if (RDivergenciasEspecifico1 = "", RDivergenciasEspecifico2, RDivergenciasEspecifico1)))</f>
        <v>no</v>
      </c>
    </row>
    <row r="110">
      <c r="A110" s="27">
        <f>IFERROR(__xludf.DUMMYFUNCTION("""COMPUTED_VALUE"""),121.0)</f>
        <v>121</v>
      </c>
      <c r="B110" s="27" t="str">
        <f>IFERROR(__xludf.DUMMYFUNCTION("""COMPUTED_VALUE"""),"R1 / R3")</f>
        <v>R1 / R3</v>
      </c>
      <c r="C110" s="27" t="str">
        <f>IFERROR(__xludf.DUMMYFUNCTION("""COMPUTED_VALUE"""),"recommendation")</f>
        <v>recommendation</v>
      </c>
      <c r="D110" s="25" t="str">
        <f>IFERROR(__xludf.DUMMYFUNCTION("""COMPUTED_VALUE"""),"Do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E110" s="25" t="str">
        <f>IFERROR(__xludf.DUMMYFUNCTION("""COMPUTED_VALUE"""),"It'd be great if there was a Cloud course before DevOps course.
Prepare students with previous courses.")</f>
        <v>It'd be great if there was a Cloud course before DevOps course.
Prepare students with previous courses.</v>
      </c>
      <c r="F110" s="27"/>
      <c r="G110" s="4" t="str">
        <f>if(RDivergenciasJuiz = "first",RDivergenciasEspecifico1,if (RDivergenciasJuiz = "second",RDivergenciasEspecifico2, if (RDivergenciasEspecifico1 = "", RDivergenciasEspecifico2, RDivergenciasEspecifico1)))</f>
        <v>yes</v>
      </c>
    </row>
    <row r="111">
      <c r="A111" s="27">
        <f>IFERROR(__xludf.DUMMYFUNCTION("""COMPUTED_VALUE"""),122.0)</f>
        <v>122</v>
      </c>
      <c r="B111" s="27" t="str">
        <f>IFERROR(__xludf.DUMMYFUNCTION("""COMPUTED_VALUE"""),"R2 / R3")</f>
        <v>R2 / R3</v>
      </c>
      <c r="C111" s="27" t="str">
        <f>IFERROR(__xludf.DUMMYFUNCTION("""COMPUTED_VALUE"""),"recommendation")</f>
        <v>recommendation</v>
      </c>
      <c r="D111" s="25" t="str">
        <f>IFERROR(__xludf.DUMMYFUNCTION("""COMPUTED_VALUE"""),"so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E111" s="25" t="str">
        <f>IFERROR(__xludf.DUMMYFUNCTION("""COMPUTED_VALUE"""),"Use Linux operational system.")</f>
        <v>Use Linux operational system.</v>
      </c>
      <c r="F111" s="27"/>
      <c r="G111" s="4" t="str">
        <f>if(RDivergenciasJuiz = "first",RDivergenciasEspecifico1,if (RDivergenciasJuiz = "second",RDivergenciasEspecifico2, if (RDivergenciasEspecifico1 = "", RDivergenciasEspecifico2, RDivergenciasEspecifico1)))</f>
        <v>no</v>
      </c>
    </row>
    <row r="112">
      <c r="A112" s="27">
        <f>IFERROR(__xludf.DUMMYFUNCTION("""COMPUTED_VALUE"""),123.0)</f>
        <v>123</v>
      </c>
      <c r="B112" s="27" t="str">
        <f>IFERROR(__xludf.DUMMYFUNCTION("""COMPUTED_VALUE"""),"R1 / R2")</f>
        <v>R1 / R2</v>
      </c>
      <c r="C112" s="27" t="str">
        <f>IFERROR(__xludf.DUMMYFUNCTION("""COMPUTED_VALUE"""),"recommendation")</f>
        <v>recommendation</v>
      </c>
      <c r="D112" s="25" t="str">
        <f>IFERROR(__xludf.DUMMYFUNCTION("""COMPUTED_VALUE"""),"We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E112" s="25"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F112" s="27"/>
      <c r="G112" s="4" t="str">
        <f>if(RDivergenciasJuiz = "first",RDivergenciasEspecifico1,if (RDivergenciasJuiz = "second",RDivergenciasEspecifico2, if (RDivergenciasEspecifico1 = "", RDivergenciasEspecifico2, RDivergenciasEspecifico1)))</f>
        <v>yes</v>
      </c>
    </row>
    <row r="113">
      <c r="A113" s="27">
        <f>IFERROR(__xludf.DUMMYFUNCTION("""COMPUTED_VALUE"""),124.0)</f>
        <v>124</v>
      </c>
      <c r="B113" s="27" t="str">
        <f>IFERROR(__xludf.DUMMYFUNCTION("""COMPUTED_VALUE"""),"R1 / R3")</f>
        <v>R1 / R3</v>
      </c>
      <c r="C113" s="27" t="str">
        <f>IFERROR(__xludf.DUMMYFUNCTION("""COMPUTED_VALUE"""),"recommendation")</f>
        <v>recommendation</v>
      </c>
      <c r="D113" s="25" t="str">
        <f>IFERROR(__xludf.DUMMYFUNCTION("""COMPUTED_VALUE"""),"I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13" s="25"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F113" s="27"/>
      <c r="G113" s="4" t="str">
        <f>if(RDivergenciasJuiz = "first",RDivergenciasEspecifico1,if (RDivergenciasJuiz = "second",RDivergenciasEspecifico2, if (RDivergenciasEspecifico1 = "", RDivergenciasEspecifico2, RDivergenciasEspecifico1)))</f>
        <v>yes</v>
      </c>
    </row>
    <row r="114">
      <c r="A114" s="27">
        <f>IFERROR(__xludf.DUMMYFUNCTION("""COMPUTED_VALUE"""),125.0)</f>
        <v>125</v>
      </c>
      <c r="B114" s="27" t="str">
        <f>IFERROR(__xludf.DUMMYFUNCTION("""COMPUTED_VALUE"""),"R2 / R3")</f>
        <v>R2 / R3</v>
      </c>
      <c r="C114" s="27" t="str">
        <f>IFERROR(__xludf.DUMMYFUNCTION("""COMPUTED_VALUE"""),"recommendation")</f>
        <v>recommendation</v>
      </c>
      <c r="D114" s="25" t="str">
        <f>IFERROR(__xludf.DUMMYFUNCTION("""COMPUTED_VALUE"""),"We use selenium to, to work on the, uh, on the UI, as a browser.
We use Selenium for test automation.")</f>
        <v>We use selenium to, to work on the, uh, on the UI, as a browser.
We use Selenium for test automation.</v>
      </c>
      <c r="E114" s="25" t="str">
        <f>IFERROR(__xludf.DUMMYFUNCTION("""COMPUTED_VALUE"""),"Use Selenium to automate UI tests.
Use Selenium for test automation.")</f>
        <v>Use Selenium to automate UI tests.
Use Selenium for test automation.</v>
      </c>
      <c r="F114" s="27"/>
      <c r="G114" s="4" t="str">
        <f>if(RDivergenciasJuiz = "first",RDivergenciasEspecifico1,if (RDivergenciasJuiz = "second",RDivergenciasEspecifico2, if (RDivergenciasEspecifico1 = "", RDivergenciasEspecifico2, RDivergenciasEspecifico1)))</f>
        <v>no</v>
      </c>
    </row>
    <row r="115">
      <c r="A115" s="27">
        <f>IFERROR(__xludf.DUMMYFUNCTION("""COMPUTED_VALUE"""),126.0)</f>
        <v>126</v>
      </c>
      <c r="B115" s="27" t="str">
        <f>IFERROR(__xludf.DUMMYFUNCTION("""COMPUTED_VALUE"""),"R1 / R2")</f>
        <v>R1 / R2</v>
      </c>
      <c r="C115" s="27" t="str">
        <f>IFERROR(__xludf.DUMMYFUNCTION("""COMPUTED_VALUE"""),"recommendation")</f>
        <v>recommendation</v>
      </c>
      <c r="D115" s="25" t="str">
        <f>IFERROR(__xludf.DUMMYFUNCTION("""COMPUTED_VALUE"""),"Students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E115" s="25"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F115" s="27"/>
      <c r="G115" s="4" t="str">
        <f>if(RDivergenciasJuiz = "first",RDivergenciasEspecifico1,if (RDivergenciasJuiz = "second",RDivergenciasEspecifico2, if (RDivergenciasEspecifico1 = "", RDivergenciasEspecifico2, RDivergenciasEspecifico1)))</f>
        <v>no</v>
      </c>
    </row>
    <row r="116">
      <c r="A116" s="27">
        <f>IFERROR(__xludf.DUMMYFUNCTION("""COMPUTED_VALUE"""),127.0)</f>
        <v>127</v>
      </c>
      <c r="B116" s="27" t="str">
        <f>IFERROR(__xludf.DUMMYFUNCTION("""COMPUTED_VALUE"""),"R1 / R3")</f>
        <v>R1 / R3</v>
      </c>
      <c r="C116" s="27" t="str">
        <f>IFERROR(__xludf.DUMMYFUNCTION("""COMPUTED_VALUE"""),"recommendation")</f>
        <v>recommendation</v>
      </c>
      <c r="D116" s="25" t="str">
        <f>IFERROR(__xludf.DUMMYFUNCTION("""COMPUTED_VALUE"""),"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E116" s="25" t="str">
        <f>IFERROR(__xludf.DUMMYFUNCTION("""COMPUTED_VALUE"""),"Argo CD is a more current continuous delivery tool than Jenkins.")</f>
        <v>Argo CD is a more current continuous delivery tool than Jenkins.</v>
      </c>
      <c r="F116" s="27"/>
      <c r="G116" s="4" t="str">
        <f>if(RDivergenciasJuiz = "first",RDivergenciasEspecifico1,if (RDivergenciasJuiz = "second",RDivergenciasEspecifico2, if (RDivergenciasEspecifico1 = "", RDivergenciasEspecifico2, RDivergenciasEspecifico1)))</f>
        <v>yes</v>
      </c>
    </row>
    <row r="117">
      <c r="A117" s="27">
        <f>IFERROR(__xludf.DUMMYFUNCTION("""COMPUTED_VALUE"""),128.0)</f>
        <v>128</v>
      </c>
      <c r="B117" s="27" t="str">
        <f>IFERROR(__xludf.DUMMYFUNCTION("""COMPUTED_VALUE"""),"R2 / R3")</f>
        <v>R2 / R3</v>
      </c>
      <c r="C117" s="27" t="str">
        <f>IFERROR(__xludf.DUMMYFUNCTION("""COMPUTED_VALUE"""),"recommendation")</f>
        <v>recommendation</v>
      </c>
      <c r="D117" s="25" t="str">
        <f>IFERROR(__xludf.DUMMYFUNCTION("""COMPUTED_VALUE"""),"I'm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E117" s="25"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F117" s="27"/>
      <c r="G117" s="4" t="str">
        <f>if(RDivergenciasJuiz = "first",RDivergenciasEspecifico1,if (RDivergenciasJuiz = "second",RDivergenciasEspecifico2, if (RDivergenciasEspecifico1 = "", RDivergenciasEspecifico2, RDivergenciasEspecifico1)))</f>
        <v>no</v>
      </c>
    </row>
    <row r="118">
      <c r="A118" s="27">
        <f>IFERROR(__xludf.DUMMYFUNCTION("""COMPUTED_VALUE"""),129.0)</f>
        <v>129</v>
      </c>
      <c r="B118" s="27" t="str">
        <f>IFERROR(__xludf.DUMMYFUNCTION("""COMPUTED_VALUE"""),"R1 / R2")</f>
        <v>R1 / R2</v>
      </c>
      <c r="C118" s="27" t="str">
        <f>IFERROR(__xludf.DUMMYFUNCTION("""COMPUTED_VALUE"""),"recommendation")</f>
        <v>recommendation</v>
      </c>
      <c r="D118" s="25" t="str">
        <f>IFERROR(__xludf.DUMMYFUNCTION("""COMPUTED_VALUE"""),"I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E118" s="25"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F118" s="27"/>
      <c r="G118" s="4" t="str">
        <f>if(RDivergenciasJuiz = "first",RDivergenciasEspecifico1,if (RDivergenciasJuiz = "second",RDivergenciasEspecifico2, if (RDivergenciasEspecifico1 = "", RDivergenciasEspecifico2, RDivergenciasEspecifico1)))</f>
        <v>no</v>
      </c>
    </row>
    <row r="119">
      <c r="A119" s="27">
        <f>IFERROR(__xludf.DUMMYFUNCTION("""COMPUTED_VALUE"""),130.0)</f>
        <v>130</v>
      </c>
      <c r="B119" s="27" t="str">
        <f>IFERROR(__xludf.DUMMYFUNCTION("""COMPUTED_VALUE"""),"R1 / R3")</f>
        <v>R1 / R3</v>
      </c>
      <c r="C119" s="27" t="str">
        <f>IFERROR(__xludf.DUMMYFUNCTION("""COMPUTED_VALUE"""),"recommendation")</f>
        <v>recommendation</v>
      </c>
      <c r="D119" s="25" t="str">
        <f>IFERROR(__xludf.DUMMYFUNCTION("""COMPUTED_VALUE"""),"So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E119" s="25"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F119" s="27"/>
      <c r="G119" s="4" t="str">
        <f>if(RDivergenciasJuiz = "first",RDivergenciasEspecifico1,if (RDivergenciasJuiz = "second",RDivergenciasEspecifico2, if (RDivergenciasEspecifico1 = "", RDivergenciasEspecifico2, RDivergenciasEspecifico1)))</f>
        <v>no</v>
      </c>
    </row>
    <row r="120">
      <c r="A120" s="27">
        <f>IFERROR(__xludf.DUMMYFUNCTION("""COMPUTED_VALUE"""),131.0)</f>
        <v>131</v>
      </c>
      <c r="B120" s="27" t="str">
        <f>IFERROR(__xludf.DUMMYFUNCTION("""COMPUTED_VALUE"""),"R2 / R3")</f>
        <v>R2 / R3</v>
      </c>
      <c r="C120" s="27" t="str">
        <f>IFERROR(__xludf.DUMMYFUNCTION("""COMPUTED_VALUE"""),"recommendation")</f>
        <v>recommendation</v>
      </c>
      <c r="D120" s="25" t="str">
        <f>IFERROR(__xludf.DUMMYFUNCTION("""COMPUTED_VALUE"""),"Then I give them two exams. So the team is 40% of their grade. The exams are 60% a midterm that's 30 and a, and a final that's 30.")</f>
        <v>Then I give them two exams. So the team is 40% of their grade. The exams are 60% a midterm that's 30 and a, and a final that's 30.</v>
      </c>
      <c r="E120" s="25" t="str">
        <f>IFERROR(__xludf.DUMMYFUNCTION("""COMPUTED_VALUE"""),"So the team is 40% of their grade. The exams are 60% a midterm that's 30 and a, and a final that's 30.")</f>
        <v>So the team is 40% of their grade. The exams are 60% a midterm that's 30 and a, and a final that's 30.</v>
      </c>
      <c r="F120" s="27"/>
      <c r="G120" s="4" t="str">
        <f>if(RDivergenciasJuiz = "first",RDivergenciasEspecifico1,if (RDivergenciasJuiz = "second",RDivergenciasEspecifico2, if (RDivergenciasEspecifico1 = "", RDivergenciasEspecifico2, RDivergenciasEspecifico1)))</f>
        <v>no</v>
      </c>
    </row>
    <row r="121">
      <c r="A121" s="27">
        <f>IFERROR(__xludf.DUMMYFUNCTION("""COMPUTED_VALUE"""),132.0)</f>
        <v>132</v>
      </c>
      <c r="B121" s="27" t="str">
        <f>IFERROR(__xludf.DUMMYFUNCTION("""COMPUTED_VALUE"""),"R1 / R2")</f>
        <v>R1 / R2</v>
      </c>
      <c r="C121" s="27" t="str">
        <f>IFERROR(__xludf.DUMMYFUNCTION("""COMPUTED_VALUE"""),"recommendation")</f>
        <v>recommendation</v>
      </c>
      <c r="D121" s="25" t="str">
        <f>IFERROR(__xludf.DUMMYFUNCTION("""COMPUTED_VALUE"""),"I try to get the student more engaged.... If they're not having fun, then we're, we're doing it wrong. So, so I'm making sure they're having fun.")</f>
        <v>I try to get the student more engaged.... If they're not having fun, then we're, we're doing it wrong. So, so I'm making sure they're having fun.</v>
      </c>
      <c r="E121" s="25" t="str">
        <f>IFERROR(__xludf.DUMMYFUNCTION("""COMPUTED_VALUE"""),"Try to get the student having fun in order to keep them engaged.")</f>
        <v>Try to get the student having fun in order to keep them engaged.</v>
      </c>
      <c r="F121" s="27"/>
      <c r="G121" s="4" t="str">
        <f>if(RDivergenciasJuiz = "first",RDivergenciasEspecifico1,if (RDivergenciasJuiz = "second",RDivergenciasEspecifico2, if (RDivergenciasEspecifico1 = "", RDivergenciasEspecifico2, RDivergenciasEspecifico1)))</f>
        <v>no</v>
      </c>
    </row>
    <row r="122">
      <c r="A122" s="27">
        <f>IFERROR(__xludf.DUMMYFUNCTION("""COMPUTED_VALUE"""),133.0)</f>
        <v>133</v>
      </c>
      <c r="B122" s="27" t="str">
        <f>IFERROR(__xludf.DUMMYFUNCTION("""COMPUTED_VALUE"""),"R1 / R3")</f>
        <v>R1 / R3</v>
      </c>
      <c r="C122" s="27" t="str">
        <f>IFERROR(__xludf.DUMMYFUNCTION("""COMPUTED_VALUE"""),"recommendation")</f>
        <v>recommendation</v>
      </c>
      <c r="D122" s="25" t="str">
        <f>IFERROR(__xludf.DUMMYFUNCTION("""COMPUTED_VALUE"""),"In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E122" s="25"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F122" s="27"/>
      <c r="G122" s="4" t="str">
        <f>if(RDivergenciasJuiz = "first",RDivergenciasEspecifico1,if (RDivergenciasJuiz = "second",RDivergenciasEspecifico2, if (RDivergenciasEspecifico1 = "", RDivergenciasEspecifico2, RDivergenciasEspecifico1)))</f>
        <v>no</v>
      </c>
    </row>
    <row r="123">
      <c r="A123" s="27">
        <f>IFERROR(__xludf.DUMMYFUNCTION("""COMPUTED_VALUE"""),134.0)</f>
        <v>134</v>
      </c>
      <c r="B123" s="27" t="str">
        <f>IFERROR(__xludf.DUMMYFUNCTION("""COMPUTED_VALUE"""),"R2 / R3")</f>
        <v>R2 / R3</v>
      </c>
      <c r="C123" s="27" t="str">
        <f>IFERROR(__xludf.DUMMYFUNCTION("""COMPUTED_VALUE"""),"recommendation")</f>
        <v>recommendation</v>
      </c>
      <c r="D123" s="25" t="str">
        <f>IFERROR(__xludf.DUMMYFUNCTION("""COMPUTED_VALUE"""),"the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E123" s="25" t="str">
        <f>IFERROR(__xludf.DUMMYFUNCTION("""COMPUTED_VALUE"""),"Exams in remote class format are with the open book.")</f>
        <v>Exams in remote class format are with the open book.</v>
      </c>
      <c r="F123" s="27"/>
      <c r="G123" s="4" t="str">
        <f>if(RDivergenciasJuiz = "first",RDivergenciasEspecifico1,if (RDivergenciasJuiz = "second",RDivergenciasEspecifico2, if (RDivergenciasEspecifico1 = "", RDivergenciasEspecifico2, RDivergenciasEspecifico1)))</f>
        <v>no</v>
      </c>
    </row>
    <row r="124">
      <c r="A124" s="27">
        <f>IFERROR(__xludf.DUMMYFUNCTION("""COMPUTED_VALUE"""),136.0)</f>
        <v>136</v>
      </c>
      <c r="B124" s="27" t="str">
        <f>IFERROR(__xludf.DUMMYFUNCTION("""COMPUTED_VALUE"""),"R1 / R3")</f>
        <v>R1 / R3</v>
      </c>
      <c r="C124" s="27" t="str">
        <f>IFERROR(__xludf.DUMMYFUNCTION("""COMPUTED_VALUE"""),"recommendation")</f>
        <v>recommendation</v>
      </c>
      <c r="D124" s="25" t="str">
        <f>IFERROR(__xludf.DUMMYFUNCTION("""COMPUTED_VALUE"""),"we had cloud computing, where can easily stand up virtual machines for people and things like that.")</f>
        <v>we had cloud computing, where can easily stand up virtual machines for people and things like that.</v>
      </c>
      <c r="E124" s="25" t="str">
        <f>IFERROR(__xludf.DUMMYFUNCTION("""COMPUTED_VALUE"""),"Cloud computing make easier to stand up virtual machines.")</f>
        <v>Cloud computing make easier to stand up virtual machines.</v>
      </c>
      <c r="F124" s="27"/>
      <c r="G124" s="4" t="str">
        <f>if(RDivergenciasJuiz = "first",RDivergenciasEspecifico1,if (RDivergenciasJuiz = "second",RDivergenciasEspecifico2, if (RDivergenciasEspecifico1 = "", RDivergenciasEspecifico2, RDivergenciasEspecifico1)))</f>
        <v>no</v>
      </c>
    </row>
    <row r="125">
      <c r="A125" s="27">
        <f>IFERROR(__xludf.DUMMYFUNCTION("""COMPUTED_VALUE"""),137.0)</f>
        <v>137</v>
      </c>
      <c r="B125" s="27" t="str">
        <f>IFERROR(__xludf.DUMMYFUNCTION("""COMPUTED_VALUE"""),"R2 / R3")</f>
        <v>R2 / R3</v>
      </c>
      <c r="C125" s="27" t="str">
        <f>IFERROR(__xludf.DUMMYFUNCTION("""COMPUTED_VALUE"""),"recommendation")</f>
        <v>recommendation</v>
      </c>
      <c r="D125" s="25" t="str">
        <f>IFERROR(__xludf.DUMMYFUNCTION("""COMPUTED_VALUE"""),"People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E125" s="25"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F125" s="27"/>
      <c r="G125" s="4" t="str">
        <f>if(RDivergenciasJuiz = "first",RDivergenciasEspecifico1,if (RDivergenciasJuiz = "second",RDivergenciasEspecifico2, if (RDivergenciasEspecifico1 = "", RDivergenciasEspecifico2, RDivergenciasEspecifico1)))</f>
        <v>yes</v>
      </c>
    </row>
    <row r="126">
      <c r="A126" s="27">
        <f>IFERROR(__xludf.DUMMYFUNCTION("""COMPUTED_VALUE"""),138.0)</f>
        <v>138</v>
      </c>
      <c r="B126" s="27" t="str">
        <f>IFERROR(__xludf.DUMMYFUNCTION("""COMPUTED_VALUE"""),"R1 / R2")</f>
        <v>R1 / R2</v>
      </c>
      <c r="C126" s="27" t="str">
        <f>IFERROR(__xludf.DUMMYFUNCTION("""COMPUTED_VALUE"""),"recommendation")</f>
        <v>recommendation</v>
      </c>
      <c r="D126" s="25" t="str">
        <f>IFERROR(__xludf.DUMMYFUNCTION("""COMPUTED_VALUE"""),"I'm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E126" s="25" t="str">
        <f>IFERROR(__xludf.DUMMYFUNCTION("""COMPUTED_VALUE"""),"Use imagens that contain everything that the teacher wants to teach to clone virtual machines.")</f>
        <v>Use imagens that contain everything that the teacher wants to teach to clone virtual machines.</v>
      </c>
      <c r="F126" s="27"/>
      <c r="G126" s="4" t="str">
        <f>if(RDivergenciasJuiz = "first",RDivergenciasEspecifico1,if (RDivergenciasJuiz = "second",RDivergenciasEspecifico2, if (RDivergenciasEspecifico1 = "", RDivergenciasEspecifico2, RDivergenciasEspecifico1)))</f>
        <v>yes</v>
      </c>
    </row>
    <row r="127">
      <c r="A127" s="27">
        <f>IFERROR(__xludf.DUMMYFUNCTION("""COMPUTED_VALUE"""),139.0)</f>
        <v>139</v>
      </c>
      <c r="B127" s="27" t="str">
        <f>IFERROR(__xludf.DUMMYFUNCTION("""COMPUTED_VALUE"""),"R1 / R3")</f>
        <v>R1 / R3</v>
      </c>
      <c r="C127" s="27" t="str">
        <f>IFERROR(__xludf.DUMMYFUNCTION("""COMPUTED_VALUE"""),"recommendation")</f>
        <v>recommendation</v>
      </c>
      <c r="D127" s="25" t="str">
        <f>IFERROR(__xludf.DUMMYFUNCTION("""COMPUTED_VALUE"""),"I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E127" s="25" t="str">
        <f>IFERROR(__xludf.DUMMYFUNCTION("""COMPUTED_VALUE"""),"Use Github for academic use where you can set up GitHub classrooms.")</f>
        <v>Use Github for academic use where you can set up GitHub classrooms.</v>
      </c>
      <c r="F127" s="27"/>
      <c r="G127" s="4" t="str">
        <f>if(RDivergenciasJuiz = "first",RDivergenciasEspecifico1,if (RDivergenciasJuiz = "second",RDivergenciasEspecifico2, if (RDivergenciasEspecifico1 = "", RDivergenciasEspecifico2, RDivergenciasEspecifico1)))</f>
        <v>no</v>
      </c>
    </row>
    <row r="128">
      <c r="A128" s="27">
        <f>IFERROR(__xludf.DUMMYFUNCTION("""COMPUTED_VALUE"""),140.0)</f>
        <v>140</v>
      </c>
      <c r="B128" s="27" t="str">
        <f>IFERROR(__xludf.DUMMYFUNCTION("""COMPUTED_VALUE"""),"R2 / R3")</f>
        <v>R2 / R3</v>
      </c>
      <c r="C128" s="27" t="str">
        <f>IFERROR(__xludf.DUMMYFUNCTION("""COMPUTED_VALUE"""),"recommendation")</f>
        <v>recommendation</v>
      </c>
      <c r="D128" s="25" t="str">
        <f>IFERROR(__xludf.DUMMYFUNCTION("""COMPUTED_VALUE"""),"I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E128" s="25" t="str">
        <f>IFERROR(__xludf.DUMMYFUNCTION("""COMPUTED_VALUE"""),"Compare and contrast the tools before to choice.")</f>
        <v>Compare and contrast the tools before to choice.</v>
      </c>
      <c r="F128" s="27"/>
      <c r="G128" s="4" t="str">
        <f>if(RDivergenciasJuiz = "first",RDivergenciasEspecifico1,if (RDivergenciasJuiz = "second",RDivergenciasEspecifico2, if (RDivergenciasEspecifico1 = "", RDivergenciasEspecifico2, RDivergenciasEspecifico1)))</f>
        <v>no</v>
      </c>
    </row>
    <row r="129">
      <c r="A129" s="27">
        <f>IFERROR(__xludf.DUMMYFUNCTION("""COMPUTED_VALUE"""),141.0)</f>
        <v>141</v>
      </c>
      <c r="B129" s="27" t="str">
        <f>IFERROR(__xludf.DUMMYFUNCTION("""COMPUTED_VALUE"""),"R1 / R2")</f>
        <v>R1 / R2</v>
      </c>
      <c r="C129" s="27" t="str">
        <f>IFERROR(__xludf.DUMMYFUNCTION("""COMPUTED_VALUE"""),"recommendation")</f>
        <v>recommendation</v>
      </c>
      <c r="D129" s="25" t="str">
        <f>IFERROR(__xludf.DUMMYFUNCTION("""COMPUTED_VALUE"""),"I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E129" s="25" t="str">
        <f>IFERROR(__xludf.DUMMYFUNCTION("""COMPUTED_VALUE"""),"Use cloud SAS providers to avoid spending a lot of time installations and configurations.")</f>
        <v>Use cloud SAS providers to avoid spending a lot of time installations and configurations.</v>
      </c>
      <c r="F129" s="27"/>
      <c r="G129" s="4" t="str">
        <f>if(RDivergenciasJuiz = "first",RDivergenciasEspecifico1,if (RDivergenciasJuiz = "second",RDivergenciasEspecifico2, if (RDivergenciasEspecifico1 = "", RDivergenciasEspecifico2, RDivergenciasEspecifico1)))</f>
        <v>yes</v>
      </c>
    </row>
    <row r="130">
      <c r="A130" s="27">
        <f>IFERROR(__xludf.DUMMYFUNCTION("""COMPUTED_VALUE"""),142.0)</f>
        <v>142</v>
      </c>
      <c r="B130" s="27" t="str">
        <f>IFERROR(__xludf.DUMMYFUNCTION("""COMPUTED_VALUE"""),"R1 / R3")</f>
        <v>R1 / R3</v>
      </c>
      <c r="C130" s="27" t="str">
        <f>IFERROR(__xludf.DUMMYFUNCTION("""COMPUTED_VALUE"""),"recommendation")</f>
        <v>recommendation</v>
      </c>
      <c r="D130" s="25" t="str">
        <f>IFERROR(__xludf.DUMMYFUNCTION("""COMPUTED_VALUE"""),"I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E130" s="25" t="str">
        <f>IFERROR(__xludf.DUMMYFUNCTION("""COMPUTED_VALUE"""),"Show the evolution of the tools like exposing from ant and maven to gradle tool in build managment.")</f>
        <v>Show the evolution of the tools like exposing from ant and maven to gradle tool in build managment.</v>
      </c>
      <c r="F130" s="27"/>
      <c r="G130" s="4" t="str">
        <f>if(RDivergenciasJuiz = "first",RDivergenciasEspecifico1,if (RDivergenciasJuiz = "second",RDivergenciasEspecifico2, if (RDivergenciasEspecifico1 = "", RDivergenciasEspecifico2, RDivergenciasEspecifico1)))</f>
        <v>no</v>
      </c>
    </row>
    <row r="131">
      <c r="A131" s="27">
        <f>IFERROR(__xludf.DUMMYFUNCTION("""COMPUTED_VALUE"""),143.0)</f>
        <v>143</v>
      </c>
      <c r="B131" s="27" t="str">
        <f>IFERROR(__xludf.DUMMYFUNCTION("""COMPUTED_VALUE"""),"R2 / R3")</f>
        <v>R2 / R3</v>
      </c>
      <c r="C131" s="27" t="str">
        <f>IFERROR(__xludf.DUMMYFUNCTION("""COMPUTED_VALUE"""),"recommendation")</f>
        <v>recommendation</v>
      </c>
      <c r="D131" s="25" t="str">
        <f>IFERROR(__xludf.DUMMYFUNCTION("""COMPUTED_VALUE"""),"I'm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E131" s="25" t="str">
        <f>IFERROR(__xludf.DUMMYFUNCTION("""COMPUTED_VALUE"""),"separate the dev and ops part into different courses.")</f>
        <v>separate the dev and ops part into different courses.</v>
      </c>
      <c r="F131" s="27"/>
      <c r="G131" s="4" t="str">
        <f>if(RDivergenciasJuiz = "first",RDivergenciasEspecifico1,if (RDivergenciasJuiz = "second",RDivergenciasEspecifico2, if (RDivergenciasEspecifico1 = "", RDivergenciasEspecifico2, RDivergenciasEspecifico1)))</f>
        <v>yes</v>
      </c>
    </row>
    <row r="132">
      <c r="A132" s="27">
        <f>IFERROR(__xludf.DUMMYFUNCTION("""COMPUTED_VALUE"""),144.0)</f>
        <v>144</v>
      </c>
      <c r="B132" s="27" t="str">
        <f>IFERROR(__xludf.DUMMYFUNCTION("""COMPUTED_VALUE"""),"R1 / R2")</f>
        <v>R1 / R2</v>
      </c>
      <c r="C132" s="27" t="str">
        <f>IFERROR(__xludf.DUMMYFUNCTION("""COMPUTED_VALUE"""),"recommendation")</f>
        <v>recommendation</v>
      </c>
      <c r="D132" s="25" t="str">
        <f>IFERROR(__xludf.DUMMYFUNCTION("""COMPUTED_VALUE"""),"And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E132" s="25"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F132" s="27"/>
      <c r="G132" s="4" t="str">
        <f>if(RDivergenciasJuiz = "first",RDivergenciasEspecifico1,if (RDivergenciasJuiz = "second",RDivergenciasEspecifico2, if (RDivergenciasEspecifico1 = "", RDivergenciasEspecifico2, RDivergenciasEspecifico1)))</f>
        <v>yes</v>
      </c>
    </row>
    <row r="133">
      <c r="A133" s="27">
        <f>IFERROR(__xludf.DUMMYFUNCTION("""COMPUTED_VALUE"""),145.0)</f>
        <v>145</v>
      </c>
      <c r="B133" s="27" t="str">
        <f>IFERROR(__xludf.DUMMYFUNCTION("""COMPUTED_VALUE"""),"R1 / R3")</f>
        <v>R1 / R3</v>
      </c>
      <c r="C133" s="27" t="str">
        <f>IFERROR(__xludf.DUMMYFUNCTION("""COMPUTED_VALUE"""),"recommendation")</f>
        <v>recommendation</v>
      </c>
      <c r="D133" s="25" t="str">
        <f>IFERROR(__xludf.DUMMYFUNCTION("""COMPUTED_VALUE"""),"I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E133" s="25"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F133" s="27"/>
      <c r="G133" s="4" t="str">
        <f>if(RDivergenciasJuiz = "first",RDivergenciasEspecifico1,if (RDivergenciasJuiz = "second",RDivergenciasEspecifico2, if (RDivergenciasEspecifico1 = "", RDivergenciasEspecifico2, RDivergenciasEspecifico1)))</f>
        <v>yes</v>
      </c>
    </row>
    <row r="134">
      <c r="A134" s="27">
        <f>IFERROR(__xludf.DUMMYFUNCTION("""COMPUTED_VALUE"""),146.0)</f>
        <v>146</v>
      </c>
      <c r="B134" s="27" t="str">
        <f>IFERROR(__xludf.DUMMYFUNCTION("""COMPUTED_VALUE"""),"R2 / R3")</f>
        <v>R2 / R3</v>
      </c>
      <c r="C134" s="27" t="str">
        <f>IFERROR(__xludf.DUMMYFUNCTION("""COMPUTED_VALUE"""),"recommendation")</f>
        <v>recommendation</v>
      </c>
      <c r="D134" s="25" t="str">
        <f>IFERROR(__xludf.DUMMYFUNCTION("""COMPUTED_VALUE"""),"So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E134" s="25"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F134" s="27"/>
      <c r="G134" s="4" t="str">
        <f>if(RDivergenciasJuiz = "first",RDivergenciasEspecifico1,if (RDivergenciasJuiz = "second",RDivergenciasEspecifico2, if (RDivergenciasEspecifico1 = "", RDivergenciasEspecifico2, RDivergenciasEspecifico1)))</f>
        <v>no</v>
      </c>
    </row>
    <row r="135">
      <c r="A135" s="27">
        <f>IFERROR(__xludf.DUMMYFUNCTION("""COMPUTED_VALUE"""),147.0)</f>
        <v>147</v>
      </c>
      <c r="B135" s="27" t="str">
        <f>IFERROR(__xludf.DUMMYFUNCTION("""COMPUTED_VALUE"""),"R1 / R2")</f>
        <v>R1 / R2</v>
      </c>
      <c r="C135" s="27" t="str">
        <f>IFERROR(__xludf.DUMMYFUNCTION("""COMPUTED_VALUE"""),"recommendation")</f>
        <v>recommendation</v>
      </c>
      <c r="D135" s="25" t="str">
        <f>IFERROR(__xludf.DUMMYFUNCTION("""COMPUTED_VALUE"""),"I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E135" s="25" t="str">
        <f>IFERROR(__xludf.DUMMYFUNCTION("""COMPUTED_VALUE"""),"Provide jump-starting examples of commonly used commands of tools.")</f>
        <v>Provide jump-starting examples of commonly used commands of tools.</v>
      </c>
      <c r="F135" s="27"/>
      <c r="G135" s="4" t="str">
        <f>if(RDivergenciasJuiz = "first",RDivergenciasEspecifico1,if (RDivergenciasJuiz = "second",RDivergenciasEspecifico2, if (RDivergenciasEspecifico1 = "", RDivergenciasEspecifico2, RDivergenciasEspecifico1)))</f>
        <v>no</v>
      </c>
    </row>
    <row r="136">
      <c r="A136" s="27">
        <f>IFERROR(__xludf.DUMMYFUNCTION("""COMPUTED_VALUE"""),148.0)</f>
        <v>148</v>
      </c>
      <c r="B136" s="27" t="str">
        <f>IFERROR(__xludf.DUMMYFUNCTION("""COMPUTED_VALUE"""),"R1 / R3")</f>
        <v>R1 / R3</v>
      </c>
      <c r="C136" s="27" t="str">
        <f>IFERROR(__xludf.DUMMYFUNCTION("""COMPUTED_VALUE"""),"recommendation")</f>
        <v>recommendation</v>
      </c>
      <c r="D136" s="25" t="str">
        <f>IFERROR(__xludf.DUMMYFUNCTION("""COMPUTED_VALUE"""),"So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E136" s="25"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F136" s="27"/>
      <c r="G136" s="4" t="str">
        <f>if(RDivergenciasJuiz = "first",RDivergenciasEspecifico1,if (RDivergenciasJuiz = "second",RDivergenciasEspecifico2, if (RDivergenciasEspecifico1 = "", RDivergenciasEspecifico2, RDivergenciasEspecifico1)))</f>
        <v>yes</v>
      </c>
    </row>
    <row r="137">
      <c r="A137" s="27">
        <f>IFERROR(__xludf.DUMMYFUNCTION("""COMPUTED_VALUE"""),149.0)</f>
        <v>149</v>
      </c>
      <c r="B137" s="27" t="str">
        <f>IFERROR(__xludf.DUMMYFUNCTION("""COMPUTED_VALUE"""),"R2 / R3")</f>
        <v>R2 / R3</v>
      </c>
      <c r="C137" s="27" t="str">
        <f>IFERROR(__xludf.DUMMYFUNCTION("""COMPUTED_VALUE"""),"recommendation")</f>
        <v>recommendation</v>
      </c>
      <c r="D137" s="25" t="str">
        <f>IFERROR(__xludf.DUMMYFUNCTION("""COMPUTED_VALUE"""),"Our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E137" s="25" t="str">
        <f>IFERROR(__xludf.DUMMYFUNCTION("""COMPUTED_VALUE"""),"Our curriculum allows some degree of freedom according to the teacher's preferences.")</f>
        <v>Our curriculum allows some degree of freedom according to the teacher's preferences.</v>
      </c>
      <c r="F137" s="27"/>
      <c r="G137" s="4" t="str">
        <f>if(RDivergenciasJuiz = "first",RDivergenciasEspecifico1,if (RDivergenciasJuiz = "second",RDivergenciasEspecifico2, if (RDivergenciasEspecifico1 = "", RDivergenciasEspecifico2, RDivergenciasEspecifico1)))</f>
        <v>no</v>
      </c>
    </row>
    <row r="138">
      <c r="A138" s="27">
        <f>IFERROR(__xludf.DUMMYFUNCTION("""COMPUTED_VALUE"""),150.0)</f>
        <v>150</v>
      </c>
      <c r="B138" s="27" t="str">
        <f>IFERROR(__xludf.DUMMYFUNCTION("""COMPUTED_VALUE"""),"R1 / R2")</f>
        <v>R1 / R2</v>
      </c>
      <c r="C138" s="27" t="str">
        <f>IFERROR(__xludf.DUMMYFUNCTION("""COMPUTED_VALUE"""),"recommendation")</f>
        <v>recommendation</v>
      </c>
      <c r="D138" s="25" t="str">
        <f>IFERROR(__xludf.DUMMYFUNCTION("""COMPUTED_VALUE"""),"We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E138" s="25"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F138" s="27"/>
      <c r="G138" s="4" t="str">
        <f>if(RDivergenciasJuiz = "first",RDivergenciasEspecifico1,if (RDivergenciasJuiz = "second",RDivergenciasEspecifico2, if (RDivergenciasEspecifico1 = "", RDivergenciasEspecifico2, RDivergenciasEspecifico1)))</f>
        <v>yes</v>
      </c>
    </row>
    <row r="139">
      <c r="A139" s="27">
        <f>IFERROR(__xludf.DUMMYFUNCTION("""COMPUTED_VALUE"""),151.0)</f>
        <v>151</v>
      </c>
      <c r="B139" s="27" t="str">
        <f>IFERROR(__xludf.DUMMYFUNCTION("""COMPUTED_VALUE"""),"R1 / R3")</f>
        <v>R1 / R3</v>
      </c>
      <c r="C139" s="27" t="str">
        <f>IFERROR(__xludf.DUMMYFUNCTION("""COMPUTED_VALUE"""),"recommendation")</f>
        <v>recommendation</v>
      </c>
      <c r="D139" s="25" t="str">
        <f>IFERROR(__xludf.DUMMYFUNCTION("""COMPUTED_VALUE"""),"So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E139" s="25"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F139" s="27"/>
      <c r="G139" s="4" t="str">
        <f>if(RDivergenciasJuiz = "first",RDivergenciasEspecifico1,if (RDivergenciasJuiz = "second",RDivergenciasEspecifico2, if (RDivergenciasEspecifico1 = "", RDivergenciasEspecifico2, RDivergenciasEspecifico1)))</f>
        <v>yes</v>
      </c>
    </row>
    <row r="140">
      <c r="A140" s="27">
        <f>IFERROR(__xludf.DUMMYFUNCTION("""COMPUTED_VALUE"""),152.0)</f>
        <v>152</v>
      </c>
      <c r="B140" s="27" t="str">
        <f>IFERROR(__xludf.DUMMYFUNCTION("""COMPUTED_VALUE"""),"R2 / R3")</f>
        <v>R2 / R3</v>
      </c>
      <c r="C140" s="27" t="str">
        <f>IFERROR(__xludf.DUMMYFUNCTION("""COMPUTED_VALUE"""),"recommendation")</f>
        <v>recommendation</v>
      </c>
      <c r="D140" s="25" t="str">
        <f>IFERROR(__xludf.DUMMYFUNCTION("""COMPUTED_VALUE"""),"And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E140" s="25" t="str">
        <f>IFERROR(__xludf.DUMMYFUNCTION("""COMPUTED_VALUE"""),"Show the operational constraints to students like coder will not get access to production environment.")</f>
        <v>Show the operational constraints to students like coder will not get access to production environment.</v>
      </c>
      <c r="F140" s="27"/>
      <c r="G140" s="4" t="str">
        <f>if(RDivergenciasJuiz = "first",RDivergenciasEspecifico1,if (RDivergenciasJuiz = "second",RDivergenciasEspecifico2, if (RDivergenciasEspecifico1 = "", RDivergenciasEspecifico2, RDivergenciasEspecifico1)))</f>
        <v>yes</v>
      </c>
    </row>
    <row r="141">
      <c r="A141" s="27">
        <f>IFERROR(__xludf.DUMMYFUNCTION("""COMPUTED_VALUE"""),153.0)</f>
        <v>153</v>
      </c>
      <c r="B141" s="27" t="str">
        <f>IFERROR(__xludf.DUMMYFUNCTION("""COMPUTED_VALUE"""),"R1 / R2")</f>
        <v>R1 / R2</v>
      </c>
      <c r="C141" s="27" t="str">
        <f>IFERROR(__xludf.DUMMYFUNCTION("""COMPUTED_VALUE"""),"recommendation")</f>
        <v>recommendation</v>
      </c>
      <c r="D141" s="25" t="str">
        <f>IFERROR(__xludf.DUMMYFUNCTION("""COMPUTED_VALUE"""),"And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E141" s="25" t="str">
        <f>IFERROR(__xludf.DUMMYFUNCTION("""COMPUTED_VALUE"""),"Study the tools more when you go into the concepts. For example, deep Docker when you teach containers.")</f>
        <v>Study the tools more when you go into the concepts. For example, deep Docker when you teach containers.</v>
      </c>
      <c r="F141" s="27"/>
      <c r="G141" s="4" t="str">
        <f>if(RDivergenciasJuiz = "first",RDivergenciasEspecifico1,if (RDivergenciasJuiz = "second",RDivergenciasEspecifico2, if (RDivergenciasEspecifico1 = "", RDivergenciasEspecifico2, RDivergenciasEspecifico1)))</f>
        <v>yes</v>
      </c>
    </row>
    <row r="142">
      <c r="A142" s="27">
        <f>IFERROR(__xludf.DUMMYFUNCTION("""COMPUTED_VALUE"""),154.0)</f>
        <v>154</v>
      </c>
      <c r="B142" s="27" t="str">
        <f>IFERROR(__xludf.DUMMYFUNCTION("""COMPUTED_VALUE"""),"R1 / R3")</f>
        <v>R1 / R3</v>
      </c>
      <c r="C142" s="27" t="str">
        <f>IFERROR(__xludf.DUMMYFUNCTION("""COMPUTED_VALUE"""),"recommendation")</f>
        <v>recommendation</v>
      </c>
      <c r="D142" s="25" t="str">
        <f>IFERROR(__xludf.DUMMYFUNCTION("""COMPUTED_VALUE"""),"what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E142" s="25"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F142" s="27"/>
      <c r="G142" s="4" t="str">
        <f>if(RDivergenciasJuiz = "first",RDivergenciasEspecifico1,if (RDivergenciasJuiz = "second",RDivergenciasEspecifico2, if (RDivergenciasEspecifico1 = "", RDivergenciasEspecifico2, RDivergenciasEspecifico1)))</f>
        <v>no</v>
      </c>
    </row>
    <row r="143">
      <c r="A143" s="27">
        <f>IFERROR(__xludf.DUMMYFUNCTION("""COMPUTED_VALUE"""),155.0)</f>
        <v>155</v>
      </c>
      <c r="B143" s="27" t="str">
        <f>IFERROR(__xludf.DUMMYFUNCTION("""COMPUTED_VALUE"""),"R2 / R3")</f>
        <v>R2 / R3</v>
      </c>
      <c r="C143" s="27" t="str">
        <f>IFERROR(__xludf.DUMMYFUNCTION("""COMPUTED_VALUE"""),"recommendation")</f>
        <v>recommendation</v>
      </c>
      <c r="D143" s="25" t="str">
        <f>IFERROR(__xludf.DUMMYFUNCTION("""COMPUTED_VALUE"""),"In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E143" s="25"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F143" s="27"/>
      <c r="G143" s="4" t="str">
        <f>if(RDivergenciasJuiz = "first",RDivergenciasEspecifico1,if (RDivergenciasJuiz = "second",RDivergenciasEspecifico2, if (RDivergenciasEspecifico1 = "", RDivergenciasEspecifico2, RDivergenciasEspecifico1)))</f>
        <v>no</v>
      </c>
    </row>
    <row r="144">
      <c r="A144" s="27">
        <f>IFERROR(__xludf.DUMMYFUNCTION("""COMPUTED_VALUE"""),156.0)</f>
        <v>156</v>
      </c>
      <c r="B144" s="27" t="str">
        <f>IFERROR(__xludf.DUMMYFUNCTION("""COMPUTED_VALUE"""),"R1 / R2")</f>
        <v>R1 / R2</v>
      </c>
      <c r="C144" s="27" t="str">
        <f>IFERROR(__xludf.DUMMYFUNCTION("""COMPUTED_VALUE"""),"recommendation")</f>
        <v>recommendation</v>
      </c>
      <c r="D144" s="25" t="str">
        <f>IFERROR(__xludf.DUMMYFUNCTION("""COMPUTED_VALUE"""),"Go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E144" s="25" t="str">
        <f>IFERROR(__xludf.DUMMYFUNCTION("""COMPUTED_VALUE"""),"Build whiteboard free sessions inspired by what students have failed and the two hours exercise.")</f>
        <v>Build whiteboard free sessions inspired by what students have failed and the two hours exercise.</v>
      </c>
      <c r="F144" s="27"/>
      <c r="G144" s="4" t="str">
        <f>if(RDivergenciasJuiz = "first",RDivergenciasEspecifico1,if (RDivergenciasJuiz = "second",RDivergenciasEspecifico2, if (RDivergenciasEspecifico1 = "", RDivergenciasEspecifico2, RDivergenciasEspecifico1)))</f>
        <v>yes</v>
      </c>
    </row>
    <row r="145">
      <c r="A145" s="27">
        <f>IFERROR(__xludf.DUMMYFUNCTION("""COMPUTED_VALUE"""),157.0)</f>
        <v>157</v>
      </c>
      <c r="B145" s="27" t="str">
        <f>IFERROR(__xludf.DUMMYFUNCTION("""COMPUTED_VALUE"""),"R1 / R3")</f>
        <v>R1 / R3</v>
      </c>
      <c r="C145" s="27" t="str">
        <f>IFERROR(__xludf.DUMMYFUNCTION("""COMPUTED_VALUE"""),"recommendation")</f>
        <v>recommendation</v>
      </c>
      <c r="D145" s="25" t="str">
        <f>IFERROR(__xludf.DUMMYFUNCTION("""COMPUTED_VALUE"""),"We've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E145" s="25"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F145" s="27"/>
      <c r="G145" s="4" t="str">
        <f>if(RDivergenciasJuiz = "first",RDivergenciasEspecifico1,if (RDivergenciasJuiz = "second",RDivergenciasEspecifico2, if (RDivergenciasEspecifico1 = "", RDivergenciasEspecifico2, RDivergenciasEspecifico1)))</f>
        <v>yes</v>
      </c>
    </row>
    <row r="146">
      <c r="A146" s="27">
        <f>IFERROR(__xludf.DUMMYFUNCTION("""COMPUTED_VALUE"""),158.0)</f>
        <v>158</v>
      </c>
      <c r="B146" s="27" t="str">
        <f>IFERROR(__xludf.DUMMYFUNCTION("""COMPUTED_VALUE"""),"R2 / R3")</f>
        <v>R2 / R3</v>
      </c>
      <c r="C146" s="27" t="str">
        <f>IFERROR(__xludf.DUMMYFUNCTION("""COMPUTED_VALUE"""),"recommendation")</f>
        <v>recommendation</v>
      </c>
      <c r="D146" s="25" t="str">
        <f>IFERROR(__xludf.DUMMYFUNCTION("""COMPUTED_VALUE"""),"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E146" s="25"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F146" s="27"/>
      <c r="G146" s="4" t="str">
        <f>if(RDivergenciasJuiz = "first",RDivergenciasEspecifico1,if (RDivergenciasJuiz = "second",RDivergenciasEspecifico2, if (RDivergenciasEspecifico1 = "", RDivergenciasEspecifico2, RDivergenciasEspecifico1)))</f>
        <v>no</v>
      </c>
    </row>
    <row r="147">
      <c r="A147" s="27">
        <f>IFERROR(__xludf.DUMMYFUNCTION("""COMPUTED_VALUE"""),159.0)</f>
        <v>159</v>
      </c>
      <c r="B147" s="27" t="str">
        <f>IFERROR(__xludf.DUMMYFUNCTION("""COMPUTED_VALUE"""),"R1 / R2")</f>
        <v>R1 / R2</v>
      </c>
      <c r="C147" s="27" t="str">
        <f>IFERROR(__xludf.DUMMYFUNCTION("""COMPUTED_VALUE"""),"recommendation")</f>
        <v>recommendation</v>
      </c>
      <c r="D147" s="25" t="str">
        <f>IFERROR(__xludf.DUMMYFUNCTION("""COMPUTED_VALUE"""),"we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E147" s="25"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F147" s="27"/>
      <c r="G147" s="4" t="str">
        <f>if(RDivergenciasJuiz = "first",RDivergenciasEspecifico1,if (RDivergenciasJuiz = "second",RDivergenciasEspecifico2, if (RDivergenciasEspecifico1 = "", RDivergenciasEspecifico2, RDivergenciasEspecifico1)))</f>
        <v>no</v>
      </c>
    </row>
    <row r="148">
      <c r="A148" s="27">
        <f>IFERROR(__xludf.DUMMYFUNCTION("""COMPUTED_VALUE"""),160.0)</f>
        <v>160</v>
      </c>
      <c r="B148" s="27" t="str">
        <f>IFERROR(__xludf.DUMMYFUNCTION("""COMPUTED_VALUE"""),"R1 / R3")</f>
        <v>R1 / R3</v>
      </c>
      <c r="C148" s="27" t="str">
        <f>IFERROR(__xludf.DUMMYFUNCTION("""COMPUTED_VALUE"""),"recommendation")</f>
        <v>recommendation</v>
      </c>
      <c r="D148" s="25" t="str">
        <f>IFERROR(__xludf.DUMMYFUNCTION("""COMPUTED_VALUE"""),"we cannot make assumption on what they know. So we're trying to work without any assumption.
")</f>
        <v>we cannot make assumption on what they know. So we're trying to work without any assumption.
</v>
      </c>
      <c r="E148" s="25" t="str">
        <f>IFERROR(__xludf.DUMMYFUNCTION("""COMPUTED_VALUE"""),"Do not make assumption about the learning level of the students when you have students with different levels.")</f>
        <v>Do not make assumption about the learning level of the students when you have students with different levels.</v>
      </c>
      <c r="F148" s="27"/>
      <c r="G148" s="4" t="str">
        <f>if(RDivergenciasJuiz = "first",RDivergenciasEspecifico1,if (RDivergenciasJuiz = "second",RDivergenciasEspecifico2, if (RDivergenciasEspecifico1 = "", RDivergenciasEspecifico2, RDivergenciasEspecifico1)))</f>
        <v>no</v>
      </c>
    </row>
    <row r="149">
      <c r="A149" s="27">
        <f>IFERROR(__xludf.DUMMYFUNCTION("""COMPUTED_VALUE"""),161.0)</f>
        <v>161</v>
      </c>
      <c r="B149" s="27" t="str">
        <f>IFERROR(__xludf.DUMMYFUNCTION("""COMPUTED_VALUE"""),"R2 / R3")</f>
        <v>R2 / R3</v>
      </c>
      <c r="C149" s="27" t="str">
        <f>IFERROR(__xludf.DUMMYFUNCTION("""COMPUTED_VALUE"""),"recommendation")</f>
        <v>recommendation</v>
      </c>
      <c r="D149" s="25" t="str">
        <f>IFERROR(__xludf.DUMMYFUNCTION("""COMPUTED_VALUE"""),"We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49" s="25"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F149" s="27"/>
      <c r="G149" s="4" t="str">
        <f>if(RDivergenciasJuiz = "first",RDivergenciasEspecifico1,if (RDivergenciasJuiz = "second",RDivergenciasEspecifico2, if (RDivergenciasEspecifico1 = "", RDivergenciasEspecifico2, RDivergenciasEspecifico1)))</f>
        <v>yes</v>
      </c>
    </row>
    <row r="150">
      <c r="A150" s="27">
        <f>IFERROR(__xludf.DUMMYFUNCTION("""COMPUTED_VALUE"""),162.0)</f>
        <v>162</v>
      </c>
      <c r="B150" s="27" t="str">
        <f>IFERROR(__xludf.DUMMYFUNCTION("""COMPUTED_VALUE"""),"R1 / R2")</f>
        <v>R1 / R2</v>
      </c>
      <c r="C150" s="27" t="str">
        <f>IFERROR(__xludf.DUMMYFUNCTION("""COMPUTED_VALUE"""),"recommendation")</f>
        <v>recommendation</v>
      </c>
      <c r="D150" s="25" t="str">
        <f>IFERROR(__xludf.DUMMYFUNCTION("""COMPUTED_VALUE"""),"I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E150" s="25"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F150" s="27"/>
      <c r="G150" s="4" t="str">
        <f>if(RDivergenciasJuiz = "first",RDivergenciasEspecifico1,if (RDivergenciasJuiz = "second",RDivergenciasEspecifico2, if (RDivergenciasEspecifico1 = "", RDivergenciasEspecifico2, RDivergenciasEspecifico1)))</f>
        <v>yes</v>
      </c>
    </row>
    <row r="151">
      <c r="A151" s="27">
        <f>IFERROR(__xludf.DUMMYFUNCTION("""COMPUTED_VALUE"""),163.0)</f>
        <v>163</v>
      </c>
      <c r="B151" s="27" t="str">
        <f>IFERROR(__xludf.DUMMYFUNCTION("""COMPUTED_VALUE"""),"R1 / R3")</f>
        <v>R1 / R3</v>
      </c>
      <c r="C151" s="27" t="str">
        <f>IFERROR(__xludf.DUMMYFUNCTION("""COMPUTED_VALUE"""),"recommendation")</f>
        <v>recommendation</v>
      </c>
      <c r="D151" s="25" t="str">
        <f>IFERROR(__xludf.DUMMYFUNCTION("""COMPUTED_VALUE"""),"what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E151" s="25" t="str">
        <f>IFERROR(__xludf.DUMMYFUNCTION("""COMPUTED_VALUE"""),"Introduce a concept and do labs with creating DevOps pipeline, setup A/B tests, and automated tests.")</f>
        <v>Introduce a concept and do labs with creating DevOps pipeline, setup A/B tests, and automated tests.</v>
      </c>
      <c r="F151" s="27"/>
      <c r="G151" s="4" t="str">
        <f>if(RDivergenciasJuiz = "first",RDivergenciasEspecifico1,if (RDivergenciasJuiz = "second",RDivergenciasEspecifico2, if (RDivergenciasEspecifico1 = "", RDivergenciasEspecifico2, RDivergenciasEspecifico1)))</f>
        <v>yes</v>
      </c>
    </row>
    <row r="152">
      <c r="A152" s="27">
        <f>IFERROR(__xludf.DUMMYFUNCTION("""COMPUTED_VALUE"""),164.0)</f>
        <v>164</v>
      </c>
      <c r="B152" s="27" t="str">
        <f>IFERROR(__xludf.DUMMYFUNCTION("""COMPUTED_VALUE"""),"R2 / R3")</f>
        <v>R2 / R3</v>
      </c>
      <c r="C152" s="27" t="str">
        <f>IFERROR(__xludf.DUMMYFUNCTION("""COMPUTED_VALUE"""),"recommendation")</f>
        <v>recommendation</v>
      </c>
      <c r="D152" s="25" t="str">
        <f>IFERROR(__xludf.DUMMYFUNCTION("""COMPUTED_VALUE"""),"The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E152" s="25"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F152" s="27"/>
      <c r="G152" s="4" t="str">
        <f>if(RDivergenciasJuiz = "first",RDivergenciasEspecifico1,if (RDivergenciasJuiz = "second",RDivergenciasEspecifico2, if (RDivergenciasEspecifico1 = "", RDivergenciasEspecifico2, RDivergenciasEspecifico1)))</f>
        <v>yes</v>
      </c>
    </row>
    <row r="153">
      <c r="A153" s="27">
        <f>IFERROR(__xludf.DUMMYFUNCTION("""COMPUTED_VALUE"""),165.0)</f>
        <v>165</v>
      </c>
      <c r="B153" s="27" t="str">
        <f>IFERROR(__xludf.DUMMYFUNCTION("""COMPUTED_VALUE"""),"R1 / R2")</f>
        <v>R1 / R2</v>
      </c>
      <c r="C153" s="27" t="str">
        <f>IFERROR(__xludf.DUMMYFUNCTION("""COMPUTED_VALUE"""),"recommendation")</f>
        <v>recommendation</v>
      </c>
      <c r="D153" s="25" t="str">
        <f>IFERROR(__xludf.DUMMYFUNCTION("""COMPUTED_VALUE"""),"Also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E153" s="25" t="str">
        <f>IFERROR(__xludf.DUMMYFUNCTION("""COMPUTED_VALUE"""),"The project of the class should not be very small and must be challenging.")</f>
        <v>The project of the class should not be very small and must be challenging.</v>
      </c>
      <c r="F153" s="27"/>
      <c r="G153" s="4" t="str">
        <f>if(RDivergenciasJuiz = "first",RDivergenciasEspecifico1,if (RDivergenciasJuiz = "second",RDivergenciasEspecifico2, if (RDivergenciasEspecifico1 = "", RDivergenciasEspecifico2, RDivergenciasEspecifico1)))</f>
        <v>yes</v>
      </c>
    </row>
    <row r="154">
      <c r="A154" s="27">
        <f>IFERROR(__xludf.DUMMYFUNCTION("""COMPUTED_VALUE"""),166.0)</f>
        <v>166</v>
      </c>
      <c r="B154" s="27" t="str">
        <f>IFERROR(__xludf.DUMMYFUNCTION("""COMPUTED_VALUE"""),"R1 / R3")</f>
        <v>R1 / R3</v>
      </c>
      <c r="C154" s="27" t="str">
        <f>IFERROR(__xludf.DUMMYFUNCTION("""COMPUTED_VALUE"""),"recommendation")</f>
        <v>recommendation</v>
      </c>
      <c r="D154" s="25" t="str">
        <f>IFERROR(__xludf.DUMMYFUNCTION("""COMPUTED_VALUE"""),"for exam can be to use an open source application that we can use")</f>
        <v>for exam can be to use an open source application that we can use</v>
      </c>
      <c r="E154" s="25" t="str">
        <f>IFERROR(__xludf.DUMMYFUNCTION("""COMPUTED_VALUE"""),"For exam can be to use an open source application that we can use.")</f>
        <v>For exam can be to use an open source application that we can use.</v>
      </c>
      <c r="F154" s="27"/>
      <c r="G154" s="4" t="str">
        <f>if(RDivergenciasJuiz = "first",RDivergenciasEspecifico1,if (RDivergenciasJuiz = "second",RDivergenciasEspecifico2, if (RDivergenciasEspecifico1 = "", RDivergenciasEspecifico2, RDivergenciasEspecifico1)))</f>
        <v>no</v>
      </c>
    </row>
    <row r="155">
      <c r="A155" s="27">
        <f>IFERROR(__xludf.DUMMYFUNCTION("""COMPUTED_VALUE"""),167.0)</f>
        <v>167</v>
      </c>
      <c r="B155" s="27" t="str">
        <f>IFERROR(__xludf.DUMMYFUNCTION("""COMPUTED_VALUE"""),"R2 / R3")</f>
        <v>R2 / R3</v>
      </c>
      <c r="C155" s="27" t="str">
        <f>IFERROR(__xludf.DUMMYFUNCTION("""COMPUTED_VALUE"""),"recommendation")</f>
        <v>recommendation</v>
      </c>
      <c r="D155" s="25" t="str">
        <f>IFERROR(__xludf.DUMMYFUNCTION("""COMPUTED_VALUE"""),"we use also SonarQube to help us on the automation")</f>
        <v>we use also SonarQube to help us on the automation</v>
      </c>
      <c r="E155" s="25" t="str">
        <f>IFERROR(__xludf.DUMMYFUNCTION("""COMPUTED_VALUE"""),"Use SonarQube to help on the automation.")</f>
        <v>Use SonarQube to help on the automation.</v>
      </c>
      <c r="F155" s="27"/>
      <c r="G155" s="4" t="str">
        <f>if(RDivergenciasJuiz = "first",RDivergenciasEspecifico1,if (RDivergenciasJuiz = "second",RDivergenciasEspecifico2, if (RDivergenciasEspecifico1 = "", RDivergenciasEspecifico2, RDivergenciasEspecifico1)))</f>
        <v>yes</v>
      </c>
    </row>
    <row r="156">
      <c r="A156" s="27">
        <f>IFERROR(__xludf.DUMMYFUNCTION("""COMPUTED_VALUE"""),168.0)</f>
        <v>168</v>
      </c>
      <c r="B156" s="27" t="str">
        <f>IFERROR(__xludf.DUMMYFUNCTION("""COMPUTED_VALUE"""),"R1 / R2")</f>
        <v>R1 / R2</v>
      </c>
      <c r="C156" s="27" t="str">
        <f>IFERROR(__xludf.DUMMYFUNCTION("""COMPUTED_VALUE"""),"recommendation")</f>
        <v>recommendation</v>
      </c>
      <c r="D156" s="25" t="str">
        <f>IFERROR(__xludf.DUMMYFUNCTION("""COMPUTED_VALUE"""),"for performance testing we use JMeter")</f>
        <v>for performance testing we use JMeter</v>
      </c>
      <c r="E156" s="25" t="str">
        <f>IFERROR(__xludf.DUMMYFUNCTION("""COMPUTED_VALUE"""),"Use JMeter for performance testing.")</f>
        <v>Use JMeter for performance testing.</v>
      </c>
      <c r="F156" s="27"/>
      <c r="G156" s="4" t="str">
        <f>if(RDivergenciasJuiz = "first",RDivergenciasEspecifico1,if (RDivergenciasJuiz = "second",RDivergenciasEspecifico2, if (RDivergenciasEspecifico1 = "", RDivergenciasEspecifico2, RDivergenciasEspecifico1)))</f>
        <v>no</v>
      </c>
    </row>
    <row r="157">
      <c r="A157" s="27">
        <f>IFERROR(__xludf.DUMMYFUNCTION("""COMPUTED_VALUE"""),169.0)</f>
        <v>169</v>
      </c>
      <c r="B157" s="27" t="str">
        <f>IFERROR(__xludf.DUMMYFUNCTION("""COMPUTED_VALUE"""),"R1 / R3")</f>
        <v>R1 / R3</v>
      </c>
      <c r="C157" s="27" t="str">
        <f>IFERROR(__xludf.DUMMYFUNCTION("""COMPUTED_VALUE"""),"recommendation")</f>
        <v>recommendation</v>
      </c>
      <c r="D157" s="25" t="str">
        <f>IFERROR(__xludf.DUMMYFUNCTION("""COMPUTED_VALUE"""),"we also security platform like, uh, Zap")</f>
        <v>we also security platform like, uh, Zap</v>
      </c>
      <c r="E157" s="25" t="str">
        <f>IFERROR(__xludf.DUMMYFUNCTION("""COMPUTED_VALUE"""),"Use OWASP Zap as security platform.")</f>
        <v>Use OWASP Zap as security platform.</v>
      </c>
      <c r="F157" s="27"/>
      <c r="G157" s="4" t="str">
        <f>if(RDivergenciasJuiz = "first",RDivergenciasEspecifico1,if (RDivergenciasJuiz = "second",RDivergenciasEspecifico2, if (RDivergenciasEspecifico1 = "", RDivergenciasEspecifico2, RDivergenciasEspecifico1)))</f>
        <v>no</v>
      </c>
    </row>
    <row r="158">
      <c r="A158" s="27">
        <f>IFERROR(__xludf.DUMMYFUNCTION("""COMPUTED_VALUE"""),170.0)</f>
        <v>170</v>
      </c>
      <c r="B158" s="27" t="str">
        <f>IFERROR(__xludf.DUMMYFUNCTION("""COMPUTED_VALUE"""),"R2 / R3")</f>
        <v>R2 / R3</v>
      </c>
      <c r="C158" s="27" t="str">
        <f>IFERROR(__xludf.DUMMYFUNCTION("""COMPUTED_VALUE"""),"recommendation")</f>
        <v>recommendation</v>
      </c>
      <c r="D158" s="25" t="str">
        <f>IFERROR(__xludf.DUMMYFUNCTION("""COMPUTED_VALUE"""),"So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E158" s="25" t="str">
        <f>IFERROR(__xludf.DUMMYFUNCTION("""COMPUTED_VALUE"""),"There are many free DevOps tools available.")</f>
        <v>There are many free DevOps tools available.</v>
      </c>
      <c r="F158" s="27"/>
      <c r="G158" s="4" t="str">
        <f>if(RDivergenciasJuiz = "first",RDivergenciasEspecifico1,if (RDivergenciasJuiz = "second",RDivergenciasEspecifico2, if (RDivergenciasEspecifico1 = "", RDivergenciasEspecifico2, RDivergenciasEspecifico1)))</f>
        <v>yes</v>
      </c>
    </row>
    <row r="159">
      <c r="A159" s="27">
        <f>IFERROR(__xludf.DUMMYFUNCTION("""COMPUTED_VALUE"""),171.0)</f>
        <v>171</v>
      </c>
      <c r="B159" s="27" t="str">
        <f>IFERROR(__xludf.DUMMYFUNCTION("""COMPUTED_VALUE"""),"R1 / R2")</f>
        <v>R1 / R2</v>
      </c>
      <c r="C159" s="27" t="str">
        <f>IFERROR(__xludf.DUMMYFUNCTION("""COMPUTED_VALUE"""),"recommendation")</f>
        <v>recommendation</v>
      </c>
      <c r="D159" s="25" t="str">
        <f>IFERROR(__xludf.DUMMYFUNCTION("""COMPUTED_VALUE"""),"Quite often, what we do is have someone in our team to implement the application.")</f>
        <v>Quite often, what we do is have someone in our team to implement the application.</v>
      </c>
      <c r="E159" s="25" t="str">
        <f>IFERROR(__xludf.DUMMYFUNCTION("""COMPUTED_VALUE"""),"Someone from teacher staff implements the sample application.")</f>
        <v>Someone from teacher staff implements the sample application.</v>
      </c>
      <c r="F159" s="27"/>
      <c r="G159" s="4" t="str">
        <f>if(RDivergenciasJuiz = "first",RDivergenciasEspecifico1,if (RDivergenciasJuiz = "second",RDivergenciasEspecifico2, if (RDivergenciasEspecifico1 = "", RDivergenciasEspecifico2, RDivergenciasEspecifico1)))</f>
        <v>no</v>
      </c>
    </row>
    <row r="160">
      <c r="A160" s="27">
        <f>IFERROR(__xludf.DUMMYFUNCTION("""COMPUTED_VALUE"""),172.0)</f>
        <v>172</v>
      </c>
      <c r="B160" s="27" t="str">
        <f>IFERROR(__xludf.DUMMYFUNCTION("""COMPUTED_VALUE"""),"R1 / R3")</f>
        <v>R1 / R3</v>
      </c>
      <c r="C160" s="27" t="str">
        <f>IFERROR(__xludf.DUMMYFUNCTION("""COMPUTED_VALUE"""),"recommendation")</f>
        <v>recommendation</v>
      </c>
      <c r="D160" s="25" t="str">
        <f>IFERROR(__xludf.DUMMYFUNCTION("""COMPUTED_VALUE"""),"So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E160" s="25"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F160" s="27"/>
      <c r="G160" s="4" t="str">
        <f>if(RDivergenciasJuiz = "first",RDivergenciasEspecifico1,if (RDivergenciasJuiz = "second",RDivergenciasEspecifico2, if (RDivergenciasEspecifico1 = "", RDivergenciasEspecifico2, RDivergenciasEspecifico1)))</f>
        <v>yes</v>
      </c>
    </row>
    <row r="161">
      <c r="A161" s="27">
        <f>IFERROR(__xludf.DUMMYFUNCTION("""COMPUTED_VALUE"""),173.0)</f>
        <v>173</v>
      </c>
      <c r="B161" s="27" t="str">
        <f>IFERROR(__xludf.DUMMYFUNCTION("""COMPUTED_VALUE"""),"R2 / R3")</f>
        <v>R2 / R3</v>
      </c>
      <c r="C161" s="27" t="str">
        <f>IFERROR(__xludf.DUMMYFUNCTION("""COMPUTED_VALUE"""),"recommendation")</f>
        <v>recommendation</v>
      </c>
      <c r="D161" s="25" t="str">
        <f>IFERROR(__xludf.DUMMYFUNCTION("""COMPUTED_VALUE"""),"We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E161" s="25"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F161" s="27"/>
      <c r="G161" s="4" t="str">
        <f>if(RDivergenciasJuiz = "first",RDivergenciasEspecifico1,if (RDivergenciasJuiz = "second",RDivergenciasEspecifico2, if (RDivergenciasEspecifico1 = "", RDivergenciasEspecifico2, RDivergenciasEspecifico1)))</f>
        <v>yes</v>
      </c>
    </row>
    <row r="162">
      <c r="A162" s="27">
        <f>IFERROR(__xludf.DUMMYFUNCTION("""COMPUTED_VALUE"""),175.0)</f>
        <v>175</v>
      </c>
      <c r="B162" s="27" t="str">
        <f>IFERROR(__xludf.DUMMYFUNCTION("""COMPUTED_VALUE"""),"R1 / R3")</f>
        <v>R1 / R3</v>
      </c>
      <c r="C162" s="27" t="str">
        <f>IFERROR(__xludf.DUMMYFUNCTION("""COMPUTED_VALUE"""),"recommendation")</f>
        <v>recommendation</v>
      </c>
      <c r="D162" s="25" t="str">
        <f>IFERROR(__xludf.DUMMYFUNCTION("""COMPUTED_VALUE"""),"I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E162" s="25" t="str">
        <f>IFERROR(__xludf.DUMMYFUNCTION("""COMPUTED_VALUE"""),"Qualified teacher assistant is important to setup the labs.
It is good to have teacher assistants with labs.")</f>
        <v>Qualified teacher assistant is important to setup the labs.
It is good to have teacher assistants with labs.</v>
      </c>
      <c r="F162" s="27"/>
      <c r="G162" s="4" t="str">
        <f>if(RDivergenciasJuiz = "first",RDivergenciasEspecifico1,if (RDivergenciasJuiz = "second",RDivergenciasEspecifico2, if (RDivergenciasEspecifico1 = "", RDivergenciasEspecifico2, RDivergenciasEspecifico1)))</f>
        <v>no</v>
      </c>
    </row>
    <row r="163">
      <c r="A163" s="27">
        <f>IFERROR(__xludf.DUMMYFUNCTION("""COMPUTED_VALUE"""),176.0)</f>
        <v>176</v>
      </c>
      <c r="B163" s="27" t="str">
        <f>IFERROR(__xludf.DUMMYFUNCTION("""COMPUTED_VALUE"""),"R2 / R3")</f>
        <v>R2 / R3</v>
      </c>
      <c r="C163" s="27" t="str">
        <f>IFERROR(__xludf.DUMMYFUNCTION("""COMPUTED_VALUE"""),"recommendation")</f>
        <v>recommendation</v>
      </c>
      <c r="D163" s="25" t="str">
        <f>IFERROR(__xludf.DUMMYFUNCTION("""COMPUTED_VALUE"""),"the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E163" s="25" t="str">
        <f>IFERROR(__xludf.DUMMYFUNCTION("""COMPUTED_VALUE"""),"The Unicorn project book is a novel which covers the Dev side issues of DevOps.")</f>
        <v>The Unicorn project book is a novel which covers the Dev side issues of DevOps.</v>
      </c>
      <c r="F163" s="27"/>
      <c r="G163" s="4" t="str">
        <f>if(RDivergenciasJuiz = "first",RDivergenciasEspecifico1,if (RDivergenciasJuiz = "second",RDivergenciasEspecifico2, if (RDivergenciasEspecifico1 = "", RDivergenciasEspecifico2, RDivergenciasEspecifico1)))</f>
        <v>yes</v>
      </c>
    </row>
    <row r="164">
      <c r="A164" s="27">
        <f>IFERROR(__xludf.DUMMYFUNCTION("""COMPUTED_VALUE"""),177.0)</f>
        <v>177</v>
      </c>
      <c r="B164" s="27" t="str">
        <f>IFERROR(__xludf.DUMMYFUNCTION("""COMPUTED_VALUE"""),"R1 / R2")</f>
        <v>R1 / R2</v>
      </c>
      <c r="C164" s="27" t="str">
        <f>IFERROR(__xludf.DUMMYFUNCTION("""COMPUTED_VALUE"""),"recommendation")</f>
        <v>recommendation</v>
      </c>
      <c r="D164" s="25" t="str">
        <f>IFERROR(__xludf.DUMMYFUNCTION("""COMPUTED_VALUE"""),"The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E164" s="25" t="str">
        <f>IFERROR(__xludf.DUMMYFUNCTION("""COMPUTED_VALUE"""),"The Phoenix book by Jean Kim is a novel that covers the Ops side of DevOps.")</f>
        <v>The Phoenix book by Jean Kim is a novel that covers the Ops side of DevOps.</v>
      </c>
      <c r="F164" s="27"/>
      <c r="G164" s="4" t="str">
        <f>if(RDivergenciasJuiz = "first",RDivergenciasEspecifico1,if (RDivergenciasJuiz = "second",RDivergenciasEspecifico2, if (RDivergenciasEspecifico1 = "", RDivergenciasEspecifico2, RDivergenciasEspecifico1)))</f>
        <v>yes</v>
      </c>
    </row>
    <row r="165">
      <c r="A165" s="27">
        <f>IFERROR(__xludf.DUMMYFUNCTION("""COMPUTED_VALUE"""),178.0)</f>
        <v>178</v>
      </c>
      <c r="B165" s="27" t="str">
        <f>IFERROR(__xludf.DUMMYFUNCTION("""COMPUTED_VALUE"""),"R1 / R3")</f>
        <v>R1 / R3</v>
      </c>
      <c r="C165" s="27" t="str">
        <f>IFERROR(__xludf.DUMMYFUNCTION("""COMPUTED_VALUE"""),"recommendation")</f>
        <v>recommendation</v>
      </c>
      <c r="D165" s="25" t="str">
        <f>IFERROR(__xludf.DUMMYFUNCTION("""COMPUTED_VALUE"""),"I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E165" s="25" t="str">
        <f>IFERROR(__xludf.DUMMYFUNCTION("""COMPUTED_VALUE"""),"The teacher assistants need to be very qualified.")</f>
        <v>The teacher assistants need to be very qualified.</v>
      </c>
      <c r="F165" s="27"/>
      <c r="G165" s="4" t="str">
        <f>if(RDivergenciasJuiz = "first",RDivergenciasEspecifico1,if (RDivergenciasJuiz = "second",RDivergenciasEspecifico2, if (RDivergenciasEspecifico1 = "", RDivergenciasEspecifico2, RDivergenciasEspecifico1)))</f>
        <v>no</v>
      </c>
    </row>
    <row r="166">
      <c r="A166" s="27">
        <f>IFERROR(__xludf.DUMMYFUNCTION("""COMPUTED_VALUE"""),179.0)</f>
        <v>179</v>
      </c>
      <c r="B166" s="27" t="str">
        <f>IFERROR(__xludf.DUMMYFUNCTION("""COMPUTED_VALUE"""),"R2 / R3")</f>
        <v>R2 / R3</v>
      </c>
      <c r="C166" s="27" t="str">
        <f>IFERROR(__xludf.DUMMYFUNCTION("""COMPUTED_VALUE"""),"recommendation")</f>
        <v>recommendation</v>
      </c>
      <c r="D166" s="25" t="str">
        <f>IFERROR(__xludf.DUMMYFUNCTION("""COMPUTED_VALUE"""),"So I chose, um, tuleap, which is an open source that was missing in mainly DevOps in France.")</f>
        <v>So I chose, um, tuleap, which is an open source that was missing in mainly DevOps in France.</v>
      </c>
      <c r="E166" s="25" t="str">
        <f>IFERROR(__xludf.DUMMYFUNCTION("""COMPUTED_VALUE"""),"Use Tuleap for lifecycle management.")</f>
        <v>Use Tuleap for lifecycle management.</v>
      </c>
      <c r="F166" s="27"/>
      <c r="G166" s="4" t="str">
        <f>if(RDivergenciasJuiz = "first",RDivergenciasEspecifico1,if (RDivergenciasJuiz = "second",RDivergenciasEspecifico2, if (RDivergenciasEspecifico1 = "", RDivergenciasEspecifico2, RDivergenciasEspecifico1)))</f>
        <v>yes</v>
      </c>
    </row>
    <row r="167">
      <c r="A167" s="27">
        <f>IFERROR(__xludf.DUMMYFUNCTION("""COMPUTED_VALUE"""),180.0)</f>
        <v>180</v>
      </c>
      <c r="B167" s="27" t="str">
        <f>IFERROR(__xludf.DUMMYFUNCTION("""COMPUTED_VALUE"""),"R1 / R2")</f>
        <v>R1 / R2</v>
      </c>
      <c r="C167" s="27" t="str">
        <f>IFERROR(__xludf.DUMMYFUNCTION("""COMPUTED_VALUE"""),"recommendation")</f>
        <v>recommendation</v>
      </c>
      <c r="D167" s="25" t="str">
        <f>IFERROR(__xludf.DUMMYFUNCTION("""COMPUTED_VALUE"""),"We try to make it minimal")</f>
        <v>We try to make it minimal</v>
      </c>
      <c r="E167" s="25" t="str">
        <f>IFERROR(__xludf.DUMMYFUNCTION("""COMPUTED_VALUE"""),"Try to make the environment setup minimal.")</f>
        <v>Try to make the environment setup minimal.</v>
      </c>
      <c r="F167" s="27"/>
      <c r="G167" s="4" t="str">
        <f>if(RDivergenciasJuiz = "first",RDivergenciasEspecifico1,if (RDivergenciasJuiz = "second",RDivergenciasEspecifico2, if (RDivergenciasEspecifico1 = "", RDivergenciasEspecifico2, RDivergenciasEspecifico1)))</f>
        <v>no</v>
      </c>
    </row>
    <row r="168">
      <c r="A168" s="27">
        <f>IFERROR(__xludf.DUMMYFUNCTION("""COMPUTED_VALUE"""),181.0)</f>
        <v>181</v>
      </c>
      <c r="B168" s="27" t="str">
        <f>IFERROR(__xludf.DUMMYFUNCTION("""COMPUTED_VALUE"""),"R1 / R3")</f>
        <v>R1 / R3</v>
      </c>
      <c r="C168" s="27" t="str">
        <f>IFERROR(__xludf.DUMMYFUNCTION("""COMPUTED_VALUE"""),"recommendation")</f>
        <v>recommendation</v>
      </c>
      <c r="D168" s="25" t="str">
        <f>IFERROR(__xludf.DUMMYFUNCTION("""COMPUTED_VALUE"""),"initially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E168" s="25"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F168" s="27"/>
      <c r="G168" s="4" t="str">
        <f>if(RDivergenciasJuiz = "first",RDivergenciasEspecifico1,if (RDivergenciasJuiz = "second",RDivergenciasEspecifico2, if (RDivergenciasEspecifico1 = "", RDivergenciasEspecifico2, RDivergenciasEspecifico1)))</f>
        <v>yes</v>
      </c>
    </row>
    <row r="169">
      <c r="A169" s="27">
        <f>IFERROR(__xludf.DUMMYFUNCTION("""COMPUTED_VALUE"""),183.0)</f>
        <v>183</v>
      </c>
      <c r="B169" s="27" t="str">
        <f>IFERROR(__xludf.DUMMYFUNCTION("""COMPUTED_VALUE"""),"R1 / R2")</f>
        <v>R1 / R2</v>
      </c>
      <c r="C169" s="27" t="str">
        <f>IFERROR(__xludf.DUMMYFUNCTION("""COMPUTED_VALUE"""),"recommendation")</f>
        <v>recommendation</v>
      </c>
      <c r="D169" s="25" t="str">
        <f>IFERROR(__xludf.DUMMYFUNCTION("""COMPUTED_VALUE"""),"First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E169" s="25"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F169" s="27"/>
      <c r="G169" s="4" t="str">
        <f>if(RDivergenciasJuiz = "first",RDivergenciasEspecifico1,if (RDivergenciasJuiz = "second",RDivergenciasEspecifico2, if (RDivergenciasEspecifico1 = "", RDivergenciasEspecifico2, RDivergenciasEspecifico1)))</f>
        <v>no</v>
      </c>
    </row>
    <row r="170">
      <c r="A170" s="27">
        <f>IFERROR(__xludf.DUMMYFUNCTION("""COMPUTED_VALUE"""),184.0)</f>
        <v>184</v>
      </c>
      <c r="B170" s="27" t="str">
        <f>IFERROR(__xludf.DUMMYFUNCTION("""COMPUTED_VALUE"""),"R1 / R3")</f>
        <v>R1 / R3</v>
      </c>
      <c r="C170" s="27" t="str">
        <f>IFERROR(__xludf.DUMMYFUNCTION("""COMPUTED_VALUE"""),"recommendation")</f>
        <v>recommendation</v>
      </c>
      <c r="D170" s="25" t="str">
        <f>IFERROR(__xludf.DUMMYFUNCTION("""COMPUTED_VALUE"""),"I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E170" s="25"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F170" s="27"/>
      <c r="G170" s="4" t="str">
        <f>if(RDivergenciasJuiz = "first",RDivergenciasEspecifico1,if (RDivergenciasJuiz = "second",RDivergenciasEspecifico2, if (RDivergenciasEspecifico1 = "", RDivergenciasEspecifico2, RDivergenciasEspecifico1)))</f>
        <v>no</v>
      </c>
    </row>
    <row r="171">
      <c r="A171" s="27">
        <f>IFERROR(__xludf.DUMMYFUNCTION("""COMPUTED_VALUE"""),185.0)</f>
        <v>185</v>
      </c>
      <c r="B171" s="27" t="str">
        <f>IFERROR(__xludf.DUMMYFUNCTION("""COMPUTED_VALUE"""),"R2 / R3")</f>
        <v>R2 / R3</v>
      </c>
      <c r="C171" s="27" t="str">
        <f>IFERROR(__xludf.DUMMYFUNCTION("""COMPUTED_VALUE"""),"recommendation")</f>
        <v>recommendation</v>
      </c>
      <c r="D171" s="25" t="str">
        <f>IFERROR(__xludf.DUMMYFUNCTION("""COMPUTED_VALUE"""),"we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E171" s="25"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F171" s="27"/>
      <c r="G171" s="4" t="str">
        <f>if(RDivergenciasJuiz = "first",RDivergenciasEspecifico1,if (RDivergenciasJuiz = "second",RDivergenciasEspecifico2, if (RDivergenciasEspecifico1 = "", RDivergenciasEspecifico2, RDivergenciasEspecifico1)))</f>
        <v>yes</v>
      </c>
    </row>
    <row r="172">
      <c r="A172" s="27">
        <f>IFERROR(__xludf.DUMMYFUNCTION("""COMPUTED_VALUE"""),186.0)</f>
        <v>186</v>
      </c>
      <c r="B172" s="27" t="str">
        <f>IFERROR(__xludf.DUMMYFUNCTION("""COMPUTED_VALUE"""),"R1 / R2")</f>
        <v>R1 / R2</v>
      </c>
      <c r="C172" s="27" t="str">
        <f>IFERROR(__xludf.DUMMYFUNCTION("""COMPUTED_VALUE"""),"recommendation")</f>
        <v>recommendation</v>
      </c>
      <c r="D172" s="25" t="str">
        <f>IFERROR(__xludf.DUMMYFUNCTION("""COMPUTED_VALUE"""),"it's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E172" s="25" t="str">
        <f>IFERROR(__xludf.DUMMYFUNCTION("""COMPUTED_VALUE"""),"constantly try to figure out how to improve the quality of the course")</f>
        <v>constantly try to figure out how to improve the quality of the course</v>
      </c>
      <c r="F172" s="27"/>
      <c r="G172" s="4" t="str">
        <f>if(RDivergenciasJuiz = "first",RDivergenciasEspecifico1,if (RDivergenciasJuiz = "second",RDivergenciasEspecifico2, if (RDivergenciasEspecifico1 = "", RDivergenciasEspecifico2, RDivergenciasEspecifico1)))</f>
        <v>no</v>
      </c>
    </row>
    <row r="173">
      <c r="A173" s="27">
        <f>IFERROR(__xludf.DUMMYFUNCTION("""COMPUTED_VALUE"""),187.0)</f>
        <v>187</v>
      </c>
      <c r="B173" s="27" t="str">
        <f>IFERROR(__xludf.DUMMYFUNCTION("""COMPUTED_VALUE"""),"R1 / R3")</f>
        <v>R1 / R3</v>
      </c>
      <c r="C173" s="27" t="str">
        <f>IFERROR(__xludf.DUMMYFUNCTION("""COMPUTED_VALUE"""),"recommendation")</f>
        <v>recommendation</v>
      </c>
      <c r="D173" s="25" t="str">
        <f>IFERROR(__xludf.DUMMYFUNCTION("""COMPUTED_VALUE"""),"I'm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E173" s="25"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F173" s="27"/>
      <c r="G173" s="4" t="str">
        <f>if(RDivergenciasJuiz = "first",RDivergenciasEspecifico1,if (RDivergenciasJuiz = "second",RDivergenciasEspecifico2, if (RDivergenciasEspecifico1 = "", RDivergenciasEspecifico2, RDivergenciasEspecifico1)))</f>
        <v>no</v>
      </c>
    </row>
    <row r="174">
      <c r="A174" s="27">
        <f>IFERROR(__xludf.DUMMYFUNCTION("""COMPUTED_VALUE"""),188.0)</f>
        <v>188</v>
      </c>
      <c r="B174" s="27" t="str">
        <f>IFERROR(__xludf.DUMMYFUNCTION("""COMPUTED_VALUE"""),"R2 / R3")</f>
        <v>R2 / R3</v>
      </c>
      <c r="C174" s="27" t="str">
        <f>IFERROR(__xludf.DUMMYFUNCTION("""COMPUTED_VALUE"""),"recommendation")</f>
        <v>recommendation</v>
      </c>
      <c r="D174" s="25" t="str">
        <f>IFERROR(__xludf.DUMMYFUNCTION("""COMPUTED_VALUE"""),"So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E174" s="25" t="str">
        <f>IFERROR(__xludf.DUMMYFUNCTION("""COMPUTED_VALUE"""),"It's important to communicate with students that DevOps is not buzzword, it is extremely serious.")</f>
        <v>It's important to communicate with students that DevOps is not buzzword, it is extremely serious.</v>
      </c>
      <c r="F174" s="27"/>
      <c r="G174" s="4" t="str">
        <f>if(RDivergenciasJuiz = "first",RDivergenciasEspecifico1,if (RDivergenciasJuiz = "second",RDivergenciasEspecifico2, if (RDivergenciasEspecifico1 = "", RDivergenciasEspecifico2, RDivergenciasEspecifico1)))</f>
        <v>yes</v>
      </c>
    </row>
    <row r="175">
      <c r="A175" s="27">
        <f>IFERROR(__xludf.DUMMYFUNCTION("""COMPUTED_VALUE"""),189.0)</f>
        <v>189</v>
      </c>
      <c r="B175" s="27" t="str">
        <f>IFERROR(__xludf.DUMMYFUNCTION("""COMPUTED_VALUE"""),"R1 / R2")</f>
        <v>R1 / R2</v>
      </c>
      <c r="C175" s="27" t="str">
        <f>IFERROR(__xludf.DUMMYFUNCTION("""COMPUTED_VALUE"""),"recommendation")</f>
        <v>recommendation</v>
      </c>
      <c r="D175" s="25" t="str">
        <f>IFERROR(__xludf.DUMMYFUNCTION("""COMPUTED_VALUE"""),"Then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E175" s="25"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F175" s="27"/>
      <c r="G175" s="4" t="str">
        <f>if(RDivergenciasJuiz = "first",RDivergenciasEspecifico1,if (RDivergenciasJuiz = "second",RDivergenciasEspecifico2, if (RDivergenciasEspecifico1 = "", RDivergenciasEspecifico2, RDivergenciasEspecifico1)))</f>
        <v>yes</v>
      </c>
    </row>
    <row r="176">
      <c r="A176" s="27">
        <f>IFERROR(__xludf.DUMMYFUNCTION("""COMPUTED_VALUE"""),190.0)</f>
        <v>190</v>
      </c>
      <c r="B176" s="27" t="str">
        <f>IFERROR(__xludf.DUMMYFUNCTION("""COMPUTED_VALUE"""),"R1 / R3")</f>
        <v>R1 / R3</v>
      </c>
      <c r="C176" s="27" t="str">
        <f>IFERROR(__xludf.DUMMYFUNCTION("""COMPUTED_VALUE"""),"recommendation")</f>
        <v>recommendation</v>
      </c>
      <c r="D176" s="25" t="str">
        <f>IFERROR(__xludf.DUMMYFUNCTION("""COMPUTED_VALUE"""),"So, uh, we didn't have some predefined, uh, projects, and as we can, yes, this was a bigger problem for us.")</f>
        <v>So, uh, we didn't have some predefined, uh, projects, and as we can, yes, this was a bigger problem for us.</v>
      </c>
      <c r="E176" s="25" t="str">
        <f>IFERROR(__xludf.DUMMYFUNCTION("""COMPUTED_VALUE"""),"Predefined project is important for the organization of the course.")</f>
        <v>Predefined project is important for the organization of the course.</v>
      </c>
      <c r="F176" s="27"/>
      <c r="G176" s="4" t="str">
        <f>if(RDivergenciasJuiz = "first",RDivergenciasEspecifico1,if (RDivergenciasJuiz = "second",RDivergenciasEspecifico2, if (RDivergenciasEspecifico1 = "", RDivergenciasEspecifico2, RDivergenciasEspecifico1)))</f>
        <v>no</v>
      </c>
    </row>
    <row r="177">
      <c r="A177" s="27">
        <f>IFERROR(__xludf.DUMMYFUNCTION("""COMPUTED_VALUE"""),191.0)</f>
        <v>191</v>
      </c>
      <c r="B177" s="27" t="str">
        <f>IFERROR(__xludf.DUMMYFUNCTION("""COMPUTED_VALUE"""),"R2 / R3")</f>
        <v>R2 / R3</v>
      </c>
      <c r="C177" s="27" t="str">
        <f>IFERROR(__xludf.DUMMYFUNCTION("""COMPUTED_VALUE"""),"recommendation")</f>
        <v>recommendation</v>
      </c>
      <c r="D177" s="25" t="str">
        <f>IFERROR(__xludf.DUMMYFUNCTION("""COMPUTED_VALUE"""),"In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E177" s="25"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F177" s="27"/>
      <c r="G177" s="4" t="str">
        <f>if(RDivergenciasJuiz = "first",RDivergenciasEspecifico1,if (RDivergenciasJuiz = "second",RDivergenciasEspecifico2, if (RDivergenciasEspecifico1 = "", RDivergenciasEspecifico2, RDivergenciasEspecifico1)))</f>
        <v>no</v>
      </c>
    </row>
    <row r="178">
      <c r="A178" s="27">
        <f>IFERROR(__xludf.DUMMYFUNCTION("""COMPUTED_VALUE"""),192.0)</f>
        <v>192</v>
      </c>
      <c r="B178" s="27" t="str">
        <f>IFERROR(__xludf.DUMMYFUNCTION("""COMPUTED_VALUE"""),"R1 / R2")</f>
        <v>R1 / R2</v>
      </c>
      <c r="C178" s="27" t="str">
        <f>IFERROR(__xludf.DUMMYFUNCTION("""COMPUTED_VALUE"""),"recommendation")</f>
        <v>recommendation</v>
      </c>
      <c r="D178" s="25" t="str">
        <f>IFERROR(__xludf.DUMMYFUNCTION("""COMPUTED_VALUE"""),"And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E178" s="25"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F178" s="27"/>
      <c r="G178" s="4" t="str">
        <f>if(RDivergenciasJuiz = "first",RDivergenciasEspecifico1,if (RDivergenciasJuiz = "second",RDivergenciasEspecifico2, if (RDivergenciasEspecifico1 = "", RDivergenciasEspecifico2, RDivergenciasEspecifico1)))</f>
        <v>yes</v>
      </c>
    </row>
    <row r="179">
      <c r="A179" s="27">
        <f>IFERROR(__xludf.DUMMYFUNCTION("""COMPUTED_VALUE"""),193.0)</f>
        <v>193</v>
      </c>
      <c r="B179" s="27" t="str">
        <f>IFERROR(__xludf.DUMMYFUNCTION("""COMPUTED_VALUE"""),"R1 / R3")</f>
        <v>R1 / R3</v>
      </c>
      <c r="C179" s="27" t="str">
        <f>IFERROR(__xludf.DUMMYFUNCTION("""COMPUTED_VALUE"""),"recommendation")</f>
        <v>recommendation</v>
      </c>
      <c r="D179" s="25" t="str">
        <f>IFERROR(__xludf.DUMMYFUNCTION("""COMPUTED_VALUE"""),"if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E179" s="25" t="str">
        <f>IFERROR(__xludf.DUMMYFUNCTION("""COMPUTED_VALUE"""),"Teacher assistants help students with basics of DevOps concepts and tools.")</f>
        <v>Teacher assistants help students with basics of DevOps concepts and tools.</v>
      </c>
      <c r="F179" s="27"/>
      <c r="G179" s="4" t="str">
        <f>if(RDivergenciasJuiz = "first",RDivergenciasEspecifico1,if (RDivergenciasJuiz = "second",RDivergenciasEspecifico2, if (RDivergenciasEspecifico1 = "", RDivergenciasEspecifico2, RDivergenciasEspecifico1)))</f>
        <v>yes</v>
      </c>
    </row>
    <row r="180">
      <c r="A180" s="27">
        <f>IFERROR(__xludf.DUMMYFUNCTION("""COMPUTED_VALUE"""),194.0)</f>
        <v>194</v>
      </c>
      <c r="B180" s="27" t="str">
        <f>IFERROR(__xludf.DUMMYFUNCTION("""COMPUTED_VALUE"""),"R2 / R3")</f>
        <v>R2 / R3</v>
      </c>
      <c r="C180" s="27" t="str">
        <f>IFERROR(__xludf.DUMMYFUNCTION("""COMPUTED_VALUE"""),"recommendation")</f>
        <v>recommendation</v>
      </c>
      <c r="D180" s="25" t="str">
        <f>IFERROR(__xludf.DUMMYFUNCTION("""COMPUTED_VALUE"""),"I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E180" s="25" t="str">
        <f>IFERROR(__xludf.DUMMYFUNCTION("""COMPUTED_VALUE"""),"Two months with four hours in each week is enough to students with some background about software engineering.")</f>
        <v>Two months with four hours in each week is enough to students with some background about software engineering.</v>
      </c>
      <c r="F180" s="27"/>
      <c r="G180" s="4" t="str">
        <f>if(RDivergenciasJuiz = "first",RDivergenciasEspecifico1,if (RDivergenciasJuiz = "second",RDivergenciasEspecifico2, if (RDivergenciasEspecifico1 = "", RDivergenciasEspecifico2, RDivergenciasEspecifico1)))</f>
        <v>no</v>
      </c>
    </row>
    <row r="181">
      <c r="A181" s="27">
        <f>IFERROR(__xludf.DUMMYFUNCTION("""COMPUTED_VALUE"""),195.0)</f>
        <v>195</v>
      </c>
      <c r="B181" s="27" t="str">
        <f>IFERROR(__xludf.DUMMYFUNCTION("""COMPUTED_VALUE"""),"R1 / R2")</f>
        <v>R1 / R2</v>
      </c>
      <c r="C181" s="27" t="str">
        <f>IFERROR(__xludf.DUMMYFUNCTION("""COMPUTED_VALUE"""),"recommendation")</f>
        <v>recommendation</v>
      </c>
      <c r="D181" s="25" t="str">
        <f>IFERROR(__xludf.DUMMYFUNCTION("""COMPUTED_VALUE"""),"So I had to find one that was dying and, uh, hopefully the colleague who was handling his dying course forgot to answer to an email.")</f>
        <v>So I had to find one that was dying and, uh, hopefully the colleague who was handling his dying course forgot to answer to an email.</v>
      </c>
      <c r="E181" s="25" t="str">
        <f>IFERROR(__xludf.DUMMYFUNCTION("""COMPUTED_VALUE"""),"Look for a dying course to include a DevOps one in the curriculum.")</f>
        <v>Look for a dying course to include a DevOps one in the curriculum.</v>
      </c>
      <c r="F181" s="27"/>
      <c r="G181" s="4" t="str">
        <f>if(RDivergenciasJuiz = "first",RDivergenciasEspecifico1,if (RDivergenciasJuiz = "second",RDivergenciasEspecifico2, if (RDivergenciasEspecifico1 = "", RDivergenciasEspecifico2, RDivergenciasEspecifico1)))</f>
        <v>yes</v>
      </c>
    </row>
    <row r="182">
      <c r="A182" s="27">
        <f>IFERROR(__xludf.DUMMYFUNCTION("""COMPUTED_VALUE"""),196.0)</f>
        <v>196</v>
      </c>
      <c r="B182" s="27" t="str">
        <f>IFERROR(__xludf.DUMMYFUNCTION("""COMPUTED_VALUE"""),"R1 / R3")</f>
        <v>R1 / R3</v>
      </c>
      <c r="C182" s="27" t="str">
        <f>IFERROR(__xludf.DUMMYFUNCTION("""COMPUTED_VALUE"""),"recommendation")</f>
        <v>recommendation</v>
      </c>
      <c r="D182" s="25" t="str">
        <f>IFERROR(__xludf.DUMMYFUNCTION("""COMPUTED_VALUE"""),"So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E182" s="25" t="str">
        <f>IFERROR(__xludf.DUMMYFUNCTION("""COMPUTED_VALUE"""),"Constantly discuss and share the DevOps teaching in an open way.")</f>
        <v>Constantly discuss and share the DevOps teaching in an open way.</v>
      </c>
      <c r="F182" s="27"/>
      <c r="G182" s="4" t="str">
        <f>if(RDivergenciasJuiz = "first",RDivergenciasEspecifico1,if (RDivergenciasJuiz = "second",RDivergenciasEspecifico2, if (RDivergenciasEspecifico1 = "", RDivergenciasEspecifico2, RDivergenciasEspecifico1)))</f>
        <v>yes</v>
      </c>
    </row>
    <row r="183">
      <c r="A183" s="27">
        <f>IFERROR(__xludf.DUMMYFUNCTION("""COMPUTED_VALUE"""),197.0)</f>
        <v>197</v>
      </c>
      <c r="B183" s="27" t="str">
        <f>IFERROR(__xludf.DUMMYFUNCTION("""COMPUTED_VALUE"""),"R2 / R3")</f>
        <v>R2 / R3</v>
      </c>
      <c r="C183" s="27" t="str">
        <f>IFERROR(__xludf.DUMMYFUNCTION("""COMPUTED_VALUE"""),"recommendation")</f>
        <v>recommendation</v>
      </c>
      <c r="D183" s="25" t="str">
        <f>IFERROR(__xludf.DUMMYFUNCTION("""COMPUTED_VALUE"""),"So this guy was really half time IBM and half time in the faculty of engineering.")</f>
        <v>So this guy was really half time IBM and half time in the faculty of engineering.</v>
      </c>
      <c r="E183" s="25" t="str">
        <f>IFERROR(__xludf.DUMMYFUNCTION("""COMPUTED_VALUE"""),"Teachers could be half time industrial and half time faculty.")</f>
        <v>Teachers could be half time industrial and half time faculty.</v>
      </c>
      <c r="F183" s="27"/>
      <c r="G183" s="4" t="str">
        <f>if(RDivergenciasJuiz = "first",RDivergenciasEspecifico1,if (RDivergenciasJuiz = "second",RDivergenciasEspecifico2, if (RDivergenciasEspecifico1 = "", RDivergenciasEspecifico2, RDivergenciasEspecifico1)))</f>
        <v>no</v>
      </c>
    </row>
    <row r="184">
      <c r="A184" s="27">
        <f>IFERROR(__xludf.DUMMYFUNCTION("""COMPUTED_VALUE"""),198.0)</f>
        <v>198</v>
      </c>
      <c r="B184" s="27" t="str">
        <f>IFERROR(__xludf.DUMMYFUNCTION("""COMPUTED_VALUE"""),"R1 / R2")</f>
        <v>R1 / R2</v>
      </c>
      <c r="C184" s="27" t="str">
        <f>IFERROR(__xludf.DUMMYFUNCTION("""COMPUTED_VALUE"""),"recommendation")</f>
        <v>recommendation</v>
      </c>
      <c r="D184" s="25" t="str">
        <f>IFERROR(__xludf.DUMMYFUNCTION("""COMPUTED_VALUE"""),"we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E184" s="25" t="str">
        <f>IFERROR(__xludf.DUMMYFUNCTION("""COMPUTED_VALUE"""),"DevOps tools are well integrated in Bluemix platform from IBM.")</f>
        <v>DevOps tools are well integrated in Bluemix platform from IBM.</v>
      </c>
      <c r="F184" s="27"/>
      <c r="G184" s="4" t="str">
        <f>if(RDivergenciasJuiz = "first",RDivergenciasEspecifico1,if (RDivergenciasJuiz = "second",RDivergenciasEspecifico2, if (RDivergenciasEspecifico1 = "", RDivergenciasEspecifico2, RDivergenciasEspecifico1)))</f>
        <v>yes</v>
      </c>
    </row>
    <row r="185">
      <c r="A185" s="27">
        <f>IFERROR(__xludf.DUMMYFUNCTION("""COMPUTED_VALUE"""),199.0)</f>
        <v>199</v>
      </c>
      <c r="B185" s="27" t="str">
        <f>IFERROR(__xludf.DUMMYFUNCTION("""COMPUTED_VALUE"""),"R1 / R3")</f>
        <v>R1 / R3</v>
      </c>
      <c r="C185" s="27" t="str">
        <f>IFERROR(__xludf.DUMMYFUNCTION("""COMPUTED_VALUE"""),"recommendation")</f>
        <v>recommendation</v>
      </c>
      <c r="D185" s="25" t="str">
        <f>IFERROR(__xludf.DUMMYFUNCTION("""COMPUTED_VALUE"""),"And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E185" s="25" t="str">
        <f>IFERROR(__xludf.DUMMYFUNCTION("""COMPUTED_VALUE"""),"DevOps course as elective course have students that wanted to learn about DevOps.")</f>
        <v>DevOps course as elective course have students that wanted to learn about DevOps.</v>
      </c>
      <c r="F185" s="27"/>
      <c r="G185" s="4" t="str">
        <f>if(RDivergenciasJuiz = "first",RDivergenciasEspecifico1,if (RDivergenciasJuiz = "second",RDivergenciasEspecifico2, if (RDivergenciasEspecifico1 = "", RDivergenciasEspecifico2, RDivergenciasEspecifico1)))</f>
        <v>yes</v>
      </c>
    </row>
    <row r="186">
      <c r="A186" s="27">
        <f>IFERROR(__xludf.DUMMYFUNCTION("""COMPUTED_VALUE"""),200.0)</f>
        <v>200</v>
      </c>
      <c r="B186" s="27" t="str">
        <f>IFERROR(__xludf.DUMMYFUNCTION("""COMPUTED_VALUE"""),"R2 / R3")</f>
        <v>R2 / R3</v>
      </c>
      <c r="C186" s="27" t="str">
        <f>IFERROR(__xludf.DUMMYFUNCTION("""COMPUTED_VALUE"""),"recommendation")</f>
        <v>recommendation</v>
      </c>
      <c r="D186" s="25" t="str">
        <f>IFERROR(__xludf.DUMMYFUNCTION("""COMPUTED_VALUE"""),"what we've done was first to, um, continuously evaluate the teams are they were working on the project.")</f>
        <v>what we've done was first to, um, continuously evaluate the teams are they were working on the project.</v>
      </c>
      <c r="E186" s="25" t="str">
        <f>IFERROR(__xludf.DUMMYFUNCTION("""COMPUTED_VALUE"""),"Make a continuous evaluation of the projects of the students.")</f>
        <v>Make a continuous evaluation of the projects of the students.</v>
      </c>
      <c r="F186" s="27"/>
      <c r="G186" s="4" t="str">
        <f>if(RDivergenciasJuiz = "first",RDivergenciasEspecifico1,if (RDivergenciasJuiz = "second",RDivergenciasEspecifico2, if (RDivergenciasEspecifico1 = "", RDivergenciasEspecifico2, RDivergenciasEspecifico1)))</f>
        <v>no</v>
      </c>
    </row>
  </sheetData>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2.57"/>
    <col customWidth="1" min="2" max="2" width="12.29"/>
    <col customWidth="1" min="3" max="3" width="15.0"/>
    <col customWidth="1" min="4" max="4" width="6.86"/>
    <col customWidth="1" min="5" max="5" width="20.57"/>
    <col customWidth="1" min="6" max="6" width="25.29"/>
    <col customWidth="1" min="7" max="7" width="13.0"/>
    <col customWidth="1" min="8" max="8" width="5.71"/>
    <col customWidth="1" min="9" max="13" width="13.0"/>
  </cols>
  <sheetData>
    <row r="1">
      <c r="A1" s="56" t="s">
        <v>5</v>
      </c>
      <c r="B1" s="57" t="s">
        <v>44</v>
      </c>
      <c r="C1" s="57" t="s">
        <v>45</v>
      </c>
      <c r="D1" s="57"/>
      <c r="E1" s="57" t="s">
        <v>46</v>
      </c>
      <c r="F1" s="57" t="s">
        <v>47</v>
      </c>
      <c r="G1" s="57"/>
      <c r="H1" s="57" t="s">
        <v>48</v>
      </c>
      <c r="I1" s="57" t="s">
        <v>49</v>
      </c>
      <c r="J1" s="57"/>
      <c r="K1" s="57"/>
      <c r="L1" s="57"/>
      <c r="M1" s="57"/>
    </row>
    <row r="2">
      <c r="A2" s="58" t="s">
        <v>9</v>
      </c>
      <c r="B2" s="59">
        <f>countifs('Challenge Specifics-Final'!G:G,A2)</f>
        <v>48</v>
      </c>
      <c r="C2" s="60">
        <f t="shared" ref="C2:C4" si="1">B2/B$4</f>
        <v>0.578313253</v>
      </c>
      <c r="D2" s="60"/>
      <c r="E2" s="59">
        <f>countifs('Recommendation Specifics-Final'!G:G,A2)</f>
        <v>88</v>
      </c>
      <c r="F2" s="60">
        <f t="shared" ref="F2:F4" si="2">E2/E$4</f>
        <v>0.4756756757</v>
      </c>
      <c r="G2" s="60"/>
      <c r="H2" s="59">
        <f t="shared" ref="H2:H4" si="3">B2+E2</f>
        <v>136</v>
      </c>
      <c r="I2" s="60">
        <f t="shared" ref="I2:I4" si="4">H2/H$4</f>
        <v>0.5074626866</v>
      </c>
      <c r="J2" s="60"/>
      <c r="K2" s="60"/>
      <c r="L2" s="60"/>
      <c r="M2" s="60"/>
    </row>
    <row r="3">
      <c r="A3" s="58" t="s">
        <v>8</v>
      </c>
      <c r="B3" s="59">
        <f>countifs('Challenge Specifics-Final'!G:G,A3)</f>
        <v>35</v>
      </c>
      <c r="C3" s="60">
        <f t="shared" si="1"/>
        <v>0.421686747</v>
      </c>
      <c r="D3" s="60"/>
      <c r="E3" s="59">
        <f>countifs('Recommendation Specifics-Final'!G:G,A3)</f>
        <v>97</v>
      </c>
      <c r="F3" s="60">
        <f t="shared" si="2"/>
        <v>0.5243243243</v>
      </c>
      <c r="G3" s="60"/>
      <c r="H3" s="59">
        <f t="shared" si="3"/>
        <v>132</v>
      </c>
      <c r="I3" s="60">
        <f t="shared" si="4"/>
        <v>0.4925373134</v>
      </c>
      <c r="J3" s="60"/>
      <c r="K3" s="60"/>
      <c r="L3" s="60"/>
      <c r="M3" s="60"/>
    </row>
    <row r="4">
      <c r="A4" s="61" t="s">
        <v>50</v>
      </c>
      <c r="B4" s="59">
        <f>sum(B2:B3)</f>
        <v>83</v>
      </c>
      <c r="C4" s="62">
        <f t="shared" si="1"/>
        <v>1</v>
      </c>
      <c r="D4" s="62"/>
      <c r="E4" s="59">
        <f>sum(E2:E3)</f>
        <v>185</v>
      </c>
      <c r="F4" s="62">
        <f t="shared" si="2"/>
        <v>1</v>
      </c>
      <c r="G4" s="62"/>
      <c r="H4" s="59">
        <f t="shared" si="3"/>
        <v>268</v>
      </c>
      <c r="I4" s="62">
        <f t="shared" si="4"/>
        <v>1</v>
      </c>
      <c r="J4" s="62"/>
      <c r="K4" s="62"/>
      <c r="L4" s="62"/>
      <c r="M4" s="62"/>
    </row>
    <row r="5">
      <c r="A5" s="59"/>
      <c r="B5" s="59"/>
      <c r="C5" s="59"/>
      <c r="D5" s="59"/>
      <c r="E5" s="59"/>
      <c r="F5" s="59"/>
      <c r="G5" s="59"/>
      <c r="H5" s="59"/>
      <c r="I5" s="59"/>
      <c r="J5" s="59"/>
      <c r="K5" s="59"/>
      <c r="L5" s="59"/>
      <c r="M5" s="59"/>
    </row>
    <row r="6">
      <c r="A6" s="58"/>
      <c r="B6" s="59"/>
      <c r="C6" s="59"/>
      <c r="D6" s="59"/>
      <c r="E6" s="59"/>
      <c r="F6" s="59"/>
      <c r="G6" s="59"/>
      <c r="H6" s="59"/>
      <c r="I6" s="59"/>
      <c r="J6" s="59"/>
      <c r="K6" s="59"/>
      <c r="L6" s="59"/>
      <c r="M6" s="59"/>
    </row>
    <row r="7">
      <c r="A7" s="61"/>
      <c r="B7" s="59"/>
      <c r="C7" s="59"/>
      <c r="D7" s="59"/>
      <c r="E7" s="59"/>
      <c r="F7" s="59"/>
      <c r="G7" s="59"/>
      <c r="H7" s="59"/>
      <c r="I7" s="59"/>
      <c r="J7" s="59"/>
      <c r="K7" s="59"/>
      <c r="L7" s="59"/>
      <c r="M7" s="59"/>
    </row>
    <row r="8">
      <c r="A8" s="61"/>
      <c r="B8" s="59"/>
      <c r="C8" s="59"/>
      <c r="D8" s="59"/>
      <c r="E8" s="59"/>
      <c r="F8" s="59"/>
      <c r="G8" s="59"/>
      <c r="H8" s="59"/>
      <c r="I8" s="59"/>
      <c r="J8" s="59"/>
      <c r="K8" s="59"/>
      <c r="L8" s="59"/>
      <c r="M8" s="59"/>
    </row>
    <row r="9">
      <c r="A9" s="63"/>
      <c r="B9" s="59"/>
      <c r="C9" s="59"/>
      <c r="D9" s="59"/>
      <c r="E9" s="59"/>
      <c r="F9" s="59"/>
      <c r="G9" s="59"/>
      <c r="H9" s="59"/>
      <c r="I9" s="59"/>
      <c r="J9" s="59"/>
      <c r="K9" s="59"/>
      <c r="L9" s="59"/>
      <c r="M9" s="59"/>
    </row>
    <row r="10">
      <c r="A10" s="59"/>
      <c r="B10" s="59"/>
      <c r="C10" s="59"/>
      <c r="D10" s="59"/>
      <c r="E10" s="59"/>
      <c r="F10" s="59"/>
      <c r="G10" s="59"/>
      <c r="H10" s="59"/>
      <c r="I10" s="59"/>
      <c r="J10" s="59"/>
      <c r="K10" s="59"/>
      <c r="L10" s="59"/>
      <c r="M10" s="59"/>
    </row>
    <row r="11">
      <c r="A11" s="58"/>
      <c r="B11" s="59"/>
      <c r="C11" s="59"/>
      <c r="D11" s="59"/>
      <c r="E11" s="59"/>
      <c r="F11" s="59"/>
      <c r="G11" s="59"/>
      <c r="H11" s="59"/>
      <c r="I11" s="59"/>
      <c r="J11" s="59"/>
      <c r="K11" s="59"/>
      <c r="L11" s="59"/>
      <c r="M11" s="59"/>
    </row>
    <row r="12">
      <c r="A12" s="61"/>
      <c r="B12" s="61"/>
      <c r="C12" s="61"/>
      <c r="D12" s="61"/>
      <c r="E12" s="61"/>
      <c r="F12" s="61"/>
      <c r="G12" s="61"/>
      <c r="H12" s="59"/>
      <c r="I12" s="61"/>
      <c r="J12" s="61"/>
      <c r="K12" s="61"/>
      <c r="L12" s="61"/>
      <c r="M12" s="61"/>
    </row>
    <row r="13">
      <c r="A13" s="58"/>
      <c r="B13" s="59"/>
      <c r="C13" s="59"/>
      <c r="D13" s="59"/>
      <c r="E13" s="59"/>
      <c r="F13" s="59"/>
      <c r="G13" s="59"/>
      <c r="H13" s="59"/>
      <c r="I13" s="59"/>
      <c r="J13" s="59"/>
      <c r="K13" s="59"/>
      <c r="L13" s="59"/>
      <c r="M13" s="59"/>
    </row>
    <row r="14">
      <c r="A14" s="56" t="s">
        <v>51</v>
      </c>
      <c r="B14" s="56" t="s">
        <v>44</v>
      </c>
      <c r="C14" s="56" t="s">
        <v>52</v>
      </c>
      <c r="D14" s="56"/>
      <c r="E14" s="56" t="s">
        <v>46</v>
      </c>
      <c r="F14" s="56" t="s">
        <v>53</v>
      </c>
      <c r="G14" s="56"/>
      <c r="H14" s="56" t="s">
        <v>48</v>
      </c>
      <c r="I14" s="56" t="s">
        <v>54</v>
      </c>
      <c r="J14" s="56"/>
      <c r="K14" s="56"/>
      <c r="L14" s="56"/>
      <c r="M14" s="56"/>
    </row>
    <row r="15">
      <c r="A15" s="58" t="s">
        <v>9</v>
      </c>
      <c r="B15" s="59">
        <f>countifs('Challenge Specifics-Check'!K:K,"x")</f>
        <v>16</v>
      </c>
      <c r="C15" s="62">
        <f>1-B15/B4</f>
        <v>0.8072289157</v>
      </c>
      <c r="D15" s="60"/>
      <c r="E15" s="59">
        <f>countifs('Recommendation Specifics-Check'!K:K,"x")</f>
        <v>45</v>
      </c>
      <c r="F15" s="62">
        <f>1-E15/E4</f>
        <v>0.7567567568</v>
      </c>
      <c r="G15" s="60"/>
      <c r="H15" s="59">
        <f>B15+E15</f>
        <v>61</v>
      </c>
      <c r="I15" s="60">
        <f>1-H15/H4</f>
        <v>0.7723880597</v>
      </c>
      <c r="J15" s="60"/>
      <c r="K15" s="60"/>
      <c r="L15" s="60"/>
      <c r="M15" s="60"/>
    </row>
    <row r="16">
      <c r="A16" s="58"/>
      <c r="B16" s="59"/>
      <c r="C16" s="62"/>
      <c r="D16" s="60"/>
      <c r="E16" s="59"/>
      <c r="F16" s="62"/>
      <c r="G16" s="60"/>
      <c r="H16" s="59"/>
      <c r="I16" s="60"/>
      <c r="J16" s="60"/>
      <c r="K16" s="60"/>
      <c r="L16" s="60"/>
      <c r="M16" s="60"/>
    </row>
    <row r="17">
      <c r="A17" s="58"/>
      <c r="B17" s="59"/>
      <c r="C17" s="62"/>
      <c r="D17" s="60"/>
      <c r="E17" s="59"/>
      <c r="F17" s="62"/>
      <c r="G17" s="60"/>
      <c r="H17" s="59"/>
      <c r="I17" s="60"/>
      <c r="J17" s="60"/>
      <c r="K17" s="60"/>
      <c r="L17" s="60"/>
      <c r="M17" s="60"/>
    </row>
    <row r="18">
      <c r="A18" s="58"/>
      <c r="B18" s="59"/>
      <c r="C18" s="62"/>
      <c r="D18" s="60"/>
      <c r="E18" s="59"/>
      <c r="F18" s="62"/>
      <c r="G18" s="60"/>
      <c r="H18" s="59"/>
      <c r="I18" s="60"/>
      <c r="J18" s="60"/>
      <c r="K18" s="60"/>
      <c r="L18" s="60"/>
      <c r="M18" s="60"/>
    </row>
    <row r="19">
      <c r="A19" s="58"/>
      <c r="B19" s="59"/>
      <c r="C19" s="62"/>
      <c r="D19" s="60"/>
      <c r="E19" s="59"/>
      <c r="F19" s="62"/>
      <c r="G19" s="60"/>
      <c r="H19" s="59"/>
      <c r="I19" s="60"/>
      <c r="J19" s="60"/>
      <c r="K19" s="60"/>
      <c r="L19" s="60"/>
      <c r="M19" s="60"/>
    </row>
    <row r="20">
      <c r="A20" s="58"/>
      <c r="B20" s="59"/>
      <c r="C20" s="62"/>
      <c r="D20" s="60"/>
      <c r="E20" s="59"/>
      <c r="F20" s="62"/>
      <c r="G20" s="60"/>
      <c r="H20" s="59"/>
      <c r="I20" s="60"/>
      <c r="J20" s="60"/>
      <c r="K20" s="60"/>
      <c r="L20" s="60"/>
      <c r="M20" s="60"/>
    </row>
    <row r="21">
      <c r="A21" s="64"/>
      <c r="B21" s="59"/>
      <c r="C21" s="62"/>
      <c r="D21" s="60"/>
      <c r="E21" s="59"/>
      <c r="F21" s="62"/>
      <c r="G21" s="60"/>
      <c r="H21" s="59"/>
      <c r="I21" s="60"/>
      <c r="J21" s="60"/>
      <c r="K21" s="60"/>
      <c r="L21" s="60"/>
      <c r="M21" s="60"/>
    </row>
  </sheetData>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6.43"/>
    <col customWidth="1" min="2" max="2" width="98.71"/>
    <col customWidth="1" min="3" max="3" width="72.43"/>
    <col customWidth="1" min="4" max="4" width="76.57"/>
  </cols>
  <sheetData>
    <row r="1">
      <c r="A1" s="3" t="s">
        <v>55</v>
      </c>
      <c r="B1" s="2" t="s">
        <v>2</v>
      </c>
      <c r="C1" s="3" t="s">
        <v>3</v>
      </c>
      <c r="D1" s="3" t="s">
        <v>4</v>
      </c>
    </row>
    <row r="2" ht="106.5" customHeight="1">
      <c r="A2" s="11">
        <v>1.0</v>
      </c>
      <c r="B2" s="32" t="s">
        <v>56</v>
      </c>
      <c r="C2" s="11" t="s">
        <v>57</v>
      </c>
      <c r="D2" s="11" t="s">
        <v>58</v>
      </c>
    </row>
    <row r="3" ht="69.75" customHeight="1">
      <c r="A3" s="11">
        <v>2.0</v>
      </c>
      <c r="B3" s="32" t="s">
        <v>59</v>
      </c>
      <c r="C3" s="11" t="s">
        <v>60</v>
      </c>
      <c r="D3" s="11" t="s">
        <v>61</v>
      </c>
    </row>
    <row r="4" ht="69.75" customHeight="1">
      <c r="A4" s="11">
        <v>3.0</v>
      </c>
      <c r="B4" s="32" t="s">
        <v>62</v>
      </c>
      <c r="C4" s="11" t="s">
        <v>63</v>
      </c>
      <c r="D4" s="11" t="s">
        <v>64</v>
      </c>
    </row>
    <row r="5" ht="115.5" customHeight="1">
      <c r="A5" s="11">
        <v>4.0</v>
      </c>
      <c r="B5" s="32" t="s">
        <v>65</v>
      </c>
      <c r="C5" s="65" t="s">
        <v>66</v>
      </c>
      <c r="D5" s="11" t="s">
        <v>67</v>
      </c>
    </row>
    <row r="6" ht="134.25" customHeight="1">
      <c r="A6" s="11">
        <v>6.0</v>
      </c>
      <c r="B6" s="32" t="s">
        <v>68</v>
      </c>
      <c r="C6" s="11" t="s">
        <v>69</v>
      </c>
      <c r="D6" s="11" t="s">
        <v>70</v>
      </c>
    </row>
    <row r="7" ht="134.25" customHeight="1">
      <c r="A7" s="11">
        <v>7.0</v>
      </c>
      <c r="B7" s="32" t="s">
        <v>71</v>
      </c>
      <c r="C7" s="11" t="s">
        <v>72</v>
      </c>
      <c r="D7" s="11"/>
    </row>
    <row r="8" ht="221.25" customHeight="1">
      <c r="A8" s="11">
        <v>8.0</v>
      </c>
      <c r="B8" s="32" t="s">
        <v>73</v>
      </c>
      <c r="C8" s="11" t="s">
        <v>74</v>
      </c>
      <c r="D8" s="11" t="s">
        <v>75</v>
      </c>
    </row>
    <row r="9" ht="134.25" customHeight="1">
      <c r="A9" s="11">
        <v>9.0</v>
      </c>
      <c r="B9" s="32" t="s">
        <v>76</v>
      </c>
      <c r="C9" s="11" t="s">
        <v>77</v>
      </c>
      <c r="D9" s="11" t="s">
        <v>78</v>
      </c>
    </row>
    <row r="10" ht="134.25" customHeight="1">
      <c r="A10" s="11">
        <v>10.0</v>
      </c>
      <c r="B10" s="32" t="s">
        <v>79</v>
      </c>
      <c r="C10" s="11" t="s">
        <v>80</v>
      </c>
      <c r="D10" s="11"/>
    </row>
    <row r="11" ht="134.25" customHeight="1">
      <c r="A11" s="11">
        <v>11.0</v>
      </c>
      <c r="B11" s="32" t="s">
        <v>81</v>
      </c>
      <c r="C11" s="11" t="s">
        <v>82</v>
      </c>
      <c r="D11" s="11"/>
    </row>
    <row r="12" ht="123.75" customHeight="1">
      <c r="A12" s="11">
        <v>12.0</v>
      </c>
      <c r="B12" s="32" t="s">
        <v>83</v>
      </c>
      <c r="C12" s="11" t="s">
        <v>84</v>
      </c>
      <c r="D12" s="11" t="s">
        <v>85</v>
      </c>
    </row>
    <row r="13" ht="123.75" customHeight="1">
      <c r="A13" s="11">
        <v>13.0</v>
      </c>
      <c r="B13" s="32" t="s">
        <v>86</v>
      </c>
      <c r="C13" s="11" t="s">
        <v>87</v>
      </c>
      <c r="D13" s="11" t="s">
        <v>88</v>
      </c>
    </row>
    <row r="14" ht="123.75" customHeight="1">
      <c r="A14" s="11">
        <v>14.0</v>
      </c>
      <c r="B14" s="32" t="s">
        <v>89</v>
      </c>
      <c r="C14" s="11" t="s">
        <v>90</v>
      </c>
      <c r="D14" s="11" t="s">
        <v>91</v>
      </c>
    </row>
    <row r="15" ht="123.75" customHeight="1">
      <c r="A15" s="11">
        <v>15.0</v>
      </c>
      <c r="B15" s="32" t="s">
        <v>92</v>
      </c>
      <c r="C15" s="11" t="s">
        <v>93</v>
      </c>
      <c r="D15" s="11"/>
    </row>
    <row r="16" ht="123.75" customHeight="1">
      <c r="A16" s="11">
        <v>16.0</v>
      </c>
      <c r="B16" s="32" t="s">
        <v>94</v>
      </c>
      <c r="C16" s="11" t="s">
        <v>95</v>
      </c>
      <c r="D16" s="11" t="s">
        <v>96</v>
      </c>
    </row>
    <row r="17">
      <c r="A17" s="11">
        <v>17.0</v>
      </c>
      <c r="B17" s="32" t="s">
        <v>97</v>
      </c>
      <c r="C17" s="11" t="s">
        <v>98</v>
      </c>
      <c r="D17" s="11"/>
    </row>
    <row r="18">
      <c r="A18" s="11">
        <v>19.0</v>
      </c>
      <c r="B18" s="32" t="s">
        <v>99</v>
      </c>
      <c r="C18" s="11" t="s">
        <v>100</v>
      </c>
      <c r="D18" s="66"/>
    </row>
    <row r="19">
      <c r="A19" s="11">
        <v>22.0</v>
      </c>
      <c r="B19" s="32" t="s">
        <v>101</v>
      </c>
      <c r="C19" s="11" t="s">
        <v>102</v>
      </c>
      <c r="D19" s="11" t="s">
        <v>103</v>
      </c>
    </row>
    <row r="20">
      <c r="A20" s="11">
        <v>25.0</v>
      </c>
      <c r="B20" s="32" t="s">
        <v>104</v>
      </c>
      <c r="C20" s="11" t="s">
        <v>105</v>
      </c>
      <c r="D20" s="11" t="s">
        <v>106</v>
      </c>
    </row>
    <row r="21">
      <c r="A21" s="11">
        <v>26.0</v>
      </c>
      <c r="B21" s="32" t="s">
        <v>107</v>
      </c>
      <c r="C21" s="11" t="s">
        <v>108</v>
      </c>
      <c r="D21" s="11" t="s">
        <v>109</v>
      </c>
    </row>
    <row r="22">
      <c r="A22" s="11">
        <v>27.0</v>
      </c>
      <c r="B22" s="32" t="s">
        <v>110</v>
      </c>
      <c r="C22" s="11" t="s">
        <v>111</v>
      </c>
      <c r="D22" s="11"/>
    </row>
    <row r="23">
      <c r="A23" s="11">
        <v>28.0</v>
      </c>
      <c r="B23" s="32" t="s">
        <v>112</v>
      </c>
      <c r="C23" s="11" t="s">
        <v>113</v>
      </c>
      <c r="D23" s="11"/>
    </row>
    <row r="24">
      <c r="A24" s="11">
        <v>29.0</v>
      </c>
      <c r="B24" s="32" t="s">
        <v>114</v>
      </c>
      <c r="C24" s="11" t="s">
        <v>115</v>
      </c>
      <c r="D24" s="11" t="s">
        <v>116</v>
      </c>
    </row>
    <row r="25">
      <c r="A25" s="11">
        <v>30.0</v>
      </c>
      <c r="B25" s="32" t="s">
        <v>117</v>
      </c>
      <c r="C25" s="11" t="s">
        <v>118</v>
      </c>
      <c r="D25" s="11" t="s">
        <v>119</v>
      </c>
    </row>
    <row r="26">
      <c r="A26" s="11">
        <v>31.0</v>
      </c>
      <c r="B26" s="32" t="s">
        <v>120</v>
      </c>
      <c r="C26" s="11" t="s">
        <v>121</v>
      </c>
      <c r="D26" s="11" t="s">
        <v>122</v>
      </c>
    </row>
    <row r="27">
      <c r="A27" s="11">
        <v>32.0</v>
      </c>
      <c r="B27" s="32" t="s">
        <v>123</v>
      </c>
      <c r="C27" s="11" t="s">
        <v>124</v>
      </c>
      <c r="D27" s="11" t="s">
        <v>125</v>
      </c>
    </row>
    <row r="28">
      <c r="A28" s="11">
        <v>33.0</v>
      </c>
      <c r="B28" s="32" t="s">
        <v>126</v>
      </c>
      <c r="C28" s="11" t="s">
        <v>127</v>
      </c>
      <c r="D28" s="11"/>
    </row>
    <row r="29">
      <c r="A29" s="11">
        <v>34.0</v>
      </c>
      <c r="B29" s="67" t="s">
        <v>128</v>
      </c>
      <c r="C29" s="11" t="s">
        <v>129</v>
      </c>
      <c r="D29" s="11" t="s">
        <v>130</v>
      </c>
    </row>
    <row r="30">
      <c r="A30" s="11">
        <v>35.0</v>
      </c>
      <c r="B30" s="32" t="s">
        <v>131</v>
      </c>
      <c r="C30" s="11" t="s">
        <v>132</v>
      </c>
      <c r="D30" s="11" t="s">
        <v>133</v>
      </c>
    </row>
    <row r="31">
      <c r="A31" s="68">
        <v>36.0</v>
      </c>
      <c r="B31" s="34" t="s">
        <v>134</v>
      </c>
      <c r="C31" s="68" t="s">
        <v>135</v>
      </c>
      <c r="D31" s="68" t="s">
        <v>136</v>
      </c>
    </row>
    <row r="32">
      <c r="A32" s="11">
        <v>37.0</v>
      </c>
      <c r="B32" s="34" t="s">
        <v>137</v>
      </c>
      <c r="C32" s="11" t="s">
        <v>138</v>
      </c>
      <c r="D32" s="11"/>
    </row>
    <row r="33" ht="53.25" customHeight="1">
      <c r="A33" s="11">
        <v>38.0</v>
      </c>
      <c r="B33" s="34" t="s">
        <v>139</v>
      </c>
      <c r="C33" s="66" t="s">
        <v>140</v>
      </c>
      <c r="D33" s="66"/>
    </row>
    <row r="34">
      <c r="A34" s="11">
        <v>39.0</v>
      </c>
      <c r="B34" s="32" t="s">
        <v>141</v>
      </c>
      <c r="C34" s="11" t="s">
        <v>142</v>
      </c>
      <c r="D34" s="11" t="s">
        <v>143</v>
      </c>
    </row>
    <row r="35">
      <c r="A35" s="11">
        <v>40.0</v>
      </c>
      <c r="B35" s="32" t="s">
        <v>144</v>
      </c>
      <c r="C35" s="11" t="s">
        <v>145</v>
      </c>
      <c r="D35" s="66" t="s">
        <v>146</v>
      </c>
    </row>
    <row r="36">
      <c r="A36" s="11">
        <v>41.0</v>
      </c>
      <c r="B36" s="32" t="s">
        <v>147</v>
      </c>
      <c r="C36" s="11" t="s">
        <v>148</v>
      </c>
      <c r="D36" s="66" t="s">
        <v>149</v>
      </c>
    </row>
    <row r="37">
      <c r="A37" s="11">
        <v>42.0</v>
      </c>
      <c r="B37" s="32" t="s">
        <v>150</v>
      </c>
      <c r="C37" s="11" t="s">
        <v>151</v>
      </c>
      <c r="D37" s="11" t="s">
        <v>152</v>
      </c>
    </row>
    <row r="38">
      <c r="A38" s="68">
        <v>43.0</v>
      </c>
      <c r="B38" s="34" t="s">
        <v>153</v>
      </c>
      <c r="C38" s="68" t="s">
        <v>154</v>
      </c>
      <c r="D38" s="68" t="s">
        <v>155</v>
      </c>
    </row>
    <row r="39">
      <c r="A39" s="11">
        <v>44.0</v>
      </c>
      <c r="B39" s="32" t="s">
        <v>156</v>
      </c>
      <c r="C39" s="11" t="s">
        <v>157</v>
      </c>
      <c r="D39" s="66" t="s">
        <v>158</v>
      </c>
    </row>
    <row r="40">
      <c r="A40" s="11">
        <v>45.0</v>
      </c>
      <c r="B40" s="32" t="s">
        <v>159</v>
      </c>
      <c r="C40" s="11" t="s">
        <v>160</v>
      </c>
      <c r="D40" s="11" t="s">
        <v>161</v>
      </c>
    </row>
    <row r="41">
      <c r="A41" s="11">
        <v>46.0</v>
      </c>
      <c r="B41" s="32" t="s">
        <v>162</v>
      </c>
      <c r="C41" s="11" t="s">
        <v>163</v>
      </c>
      <c r="D41" s="11" t="s">
        <v>164</v>
      </c>
    </row>
    <row r="42">
      <c r="A42" s="11">
        <v>47.0</v>
      </c>
      <c r="B42" s="32" t="s">
        <v>165</v>
      </c>
      <c r="C42" s="11" t="s">
        <v>166</v>
      </c>
      <c r="D42" s="11"/>
    </row>
    <row r="43">
      <c r="A43" s="11">
        <v>48.0</v>
      </c>
      <c r="B43" s="32" t="s">
        <v>167</v>
      </c>
      <c r="C43" s="11" t="s">
        <v>168</v>
      </c>
      <c r="D43" s="11" t="s">
        <v>169</v>
      </c>
    </row>
    <row r="44">
      <c r="A44" s="11">
        <v>49.0</v>
      </c>
      <c r="B44" s="32" t="s">
        <v>170</v>
      </c>
      <c r="C44" s="11" t="s">
        <v>171</v>
      </c>
      <c r="D44" s="11"/>
    </row>
    <row r="45">
      <c r="A45" s="11">
        <v>50.0</v>
      </c>
      <c r="B45" s="32" t="s">
        <v>172</v>
      </c>
      <c r="C45" s="11" t="s">
        <v>173</v>
      </c>
      <c r="D45" s="11" t="s">
        <v>174</v>
      </c>
    </row>
    <row r="46">
      <c r="A46" s="68">
        <v>51.0</v>
      </c>
      <c r="B46" s="34" t="s">
        <v>175</v>
      </c>
      <c r="C46" s="68" t="s">
        <v>176</v>
      </c>
      <c r="D46" s="68"/>
    </row>
    <row r="47">
      <c r="A47" s="68">
        <v>52.0</v>
      </c>
      <c r="B47" s="34" t="s">
        <v>177</v>
      </c>
      <c r="C47" s="68" t="s">
        <v>178</v>
      </c>
      <c r="D47" s="68"/>
    </row>
    <row r="48">
      <c r="A48" s="68">
        <v>53.0</v>
      </c>
      <c r="B48" s="34" t="s">
        <v>179</v>
      </c>
      <c r="C48" s="68" t="s">
        <v>180</v>
      </c>
      <c r="D48" s="68"/>
    </row>
    <row r="49">
      <c r="A49" s="68">
        <v>54.0</v>
      </c>
      <c r="B49" s="34" t="s">
        <v>181</v>
      </c>
      <c r="C49" s="68" t="s">
        <v>182</v>
      </c>
      <c r="D49" s="68"/>
    </row>
    <row r="50">
      <c r="A50" s="68">
        <v>55.0</v>
      </c>
      <c r="B50" s="34" t="s">
        <v>183</v>
      </c>
      <c r="C50" s="68" t="s">
        <v>184</v>
      </c>
      <c r="D50" s="68" t="s">
        <v>185</v>
      </c>
    </row>
    <row r="51">
      <c r="A51" s="68">
        <v>56.0</v>
      </c>
      <c r="B51" s="34" t="s">
        <v>186</v>
      </c>
      <c r="C51" s="68" t="s">
        <v>187</v>
      </c>
      <c r="D51" s="68" t="s">
        <v>188</v>
      </c>
    </row>
    <row r="52">
      <c r="A52" s="68">
        <v>57.0</v>
      </c>
      <c r="B52" s="34" t="s">
        <v>189</v>
      </c>
      <c r="C52" s="68" t="s">
        <v>190</v>
      </c>
      <c r="D52" s="68"/>
    </row>
    <row r="53">
      <c r="A53" s="68">
        <v>58.0</v>
      </c>
      <c r="B53" s="34" t="s">
        <v>191</v>
      </c>
      <c r="C53" s="68" t="s">
        <v>191</v>
      </c>
      <c r="D53" s="68"/>
    </row>
    <row r="54">
      <c r="A54" s="68">
        <v>59.0</v>
      </c>
      <c r="B54" s="34" t="s">
        <v>192</v>
      </c>
      <c r="C54" s="68" t="s">
        <v>193</v>
      </c>
      <c r="D54" s="68"/>
    </row>
    <row r="55">
      <c r="A55" s="68">
        <v>60.0</v>
      </c>
      <c r="B55" s="34" t="s">
        <v>194</v>
      </c>
      <c r="C55" s="68" t="s">
        <v>195</v>
      </c>
      <c r="D55" s="68"/>
    </row>
    <row r="56">
      <c r="A56" s="68">
        <v>61.0</v>
      </c>
      <c r="B56" s="34" t="s">
        <v>196</v>
      </c>
      <c r="C56" s="68" t="s">
        <v>197</v>
      </c>
      <c r="D56" s="68"/>
    </row>
    <row r="57">
      <c r="A57" s="68">
        <v>62.0</v>
      </c>
      <c r="B57" s="34" t="s">
        <v>198</v>
      </c>
      <c r="C57" s="68" t="s">
        <v>199</v>
      </c>
      <c r="D57" s="68"/>
    </row>
    <row r="58">
      <c r="A58" s="68">
        <v>63.0</v>
      </c>
      <c r="B58" s="34" t="s">
        <v>200</v>
      </c>
      <c r="C58" s="68" t="s">
        <v>201</v>
      </c>
      <c r="D58" s="68"/>
    </row>
    <row r="59">
      <c r="A59" s="68">
        <v>64.0</v>
      </c>
      <c r="B59" s="34" t="s">
        <v>202</v>
      </c>
      <c r="C59" s="68" t="s">
        <v>203</v>
      </c>
      <c r="D59" s="68"/>
    </row>
    <row r="60">
      <c r="A60" s="68">
        <v>65.0</v>
      </c>
      <c r="B60" s="34" t="s">
        <v>204</v>
      </c>
      <c r="C60" s="68" t="s">
        <v>205</v>
      </c>
      <c r="D60" s="68"/>
    </row>
    <row r="61">
      <c r="A61" s="68">
        <v>66.0</v>
      </c>
      <c r="B61" s="34" t="s">
        <v>206</v>
      </c>
      <c r="C61" s="68" t="s">
        <v>207</v>
      </c>
      <c r="D61" s="68" t="s">
        <v>208</v>
      </c>
    </row>
    <row r="62">
      <c r="A62" s="68">
        <v>67.0</v>
      </c>
      <c r="B62" s="34" t="s">
        <v>209</v>
      </c>
      <c r="C62" s="68" t="s">
        <v>210</v>
      </c>
      <c r="D62" s="68"/>
    </row>
    <row r="63">
      <c r="A63" s="68">
        <v>68.0</v>
      </c>
      <c r="B63" s="34" t="s">
        <v>211</v>
      </c>
      <c r="C63" s="68" t="s">
        <v>212</v>
      </c>
      <c r="D63" s="68"/>
    </row>
    <row r="64">
      <c r="A64" s="68">
        <v>69.0</v>
      </c>
      <c r="B64" s="34" t="s">
        <v>213</v>
      </c>
      <c r="C64" s="68" t="s">
        <v>214</v>
      </c>
      <c r="D64" s="68"/>
    </row>
    <row r="65">
      <c r="A65" s="68">
        <v>70.0</v>
      </c>
      <c r="B65" s="34" t="s">
        <v>215</v>
      </c>
      <c r="C65" s="68" t="s">
        <v>216</v>
      </c>
      <c r="D65" s="68"/>
    </row>
    <row r="66">
      <c r="A66" s="68">
        <v>71.0</v>
      </c>
      <c r="B66" s="34" t="s">
        <v>217</v>
      </c>
      <c r="C66" s="68" t="s">
        <v>218</v>
      </c>
      <c r="D66" s="68" t="s">
        <v>219</v>
      </c>
    </row>
    <row r="67">
      <c r="A67" s="68">
        <v>72.0</v>
      </c>
      <c r="B67" s="34" t="s">
        <v>220</v>
      </c>
      <c r="C67" s="68" t="s">
        <v>221</v>
      </c>
      <c r="D67" s="68"/>
    </row>
    <row r="68">
      <c r="A68" s="68">
        <v>73.0</v>
      </c>
      <c r="B68" s="34" t="s">
        <v>222</v>
      </c>
      <c r="C68" s="68" t="s">
        <v>223</v>
      </c>
      <c r="D68" s="68"/>
    </row>
    <row r="69">
      <c r="A69" s="68">
        <v>74.0</v>
      </c>
      <c r="B69" s="34" t="s">
        <v>224</v>
      </c>
      <c r="C69" s="68" t="s">
        <v>225</v>
      </c>
      <c r="D69" s="68"/>
    </row>
    <row r="70">
      <c r="A70" s="68">
        <v>75.0</v>
      </c>
      <c r="B70" s="34" t="s">
        <v>226</v>
      </c>
      <c r="C70" s="68" t="s">
        <v>227</v>
      </c>
      <c r="D70" s="68"/>
    </row>
    <row r="71">
      <c r="A71" s="68">
        <v>76.0</v>
      </c>
      <c r="B71" s="34" t="s">
        <v>228</v>
      </c>
      <c r="C71" s="68" t="s">
        <v>229</v>
      </c>
      <c r="D71" s="68" t="s">
        <v>230</v>
      </c>
    </row>
    <row r="72">
      <c r="A72" s="68">
        <v>77.0</v>
      </c>
      <c r="B72" s="34" t="s">
        <v>231</v>
      </c>
      <c r="C72" s="68" t="s">
        <v>232</v>
      </c>
      <c r="D72" s="68" t="s">
        <v>233</v>
      </c>
    </row>
    <row r="73">
      <c r="A73" s="68">
        <v>78.0</v>
      </c>
      <c r="B73" s="34" t="s">
        <v>234</v>
      </c>
      <c r="C73" s="68" t="s">
        <v>235</v>
      </c>
      <c r="D73" s="68"/>
    </row>
    <row r="74">
      <c r="A74" s="68">
        <v>79.0</v>
      </c>
      <c r="B74" s="34" t="s">
        <v>236</v>
      </c>
      <c r="C74" s="68" t="s">
        <v>237</v>
      </c>
      <c r="D74" s="68"/>
    </row>
    <row r="75">
      <c r="A75" s="68">
        <v>80.0</v>
      </c>
      <c r="B75" s="34" t="s">
        <v>238</v>
      </c>
      <c r="C75" s="68" t="s">
        <v>239</v>
      </c>
      <c r="D75" s="68"/>
    </row>
    <row r="76">
      <c r="A76" s="68">
        <v>81.0</v>
      </c>
      <c r="B76" s="34" t="s">
        <v>240</v>
      </c>
      <c r="C76" s="68" t="s">
        <v>241</v>
      </c>
      <c r="D76" s="68"/>
    </row>
    <row r="77">
      <c r="A77" s="68">
        <v>82.0</v>
      </c>
      <c r="B77" s="34" t="s">
        <v>242</v>
      </c>
      <c r="C77" s="68" t="s">
        <v>243</v>
      </c>
      <c r="D77" s="68"/>
    </row>
    <row r="78">
      <c r="A78" s="68">
        <v>83.0</v>
      </c>
      <c r="B78" s="34" t="s">
        <v>244</v>
      </c>
      <c r="C78" s="68" t="s">
        <v>245</v>
      </c>
      <c r="D78" s="68"/>
    </row>
    <row r="79">
      <c r="A79" s="68">
        <v>84.0</v>
      </c>
      <c r="B79" s="34" t="s">
        <v>246</v>
      </c>
      <c r="C79" s="68" t="s">
        <v>247</v>
      </c>
      <c r="D79" s="68"/>
    </row>
    <row r="80">
      <c r="A80" s="68">
        <v>85.0</v>
      </c>
      <c r="B80" s="34" t="s">
        <v>248</v>
      </c>
      <c r="C80" s="68" t="s">
        <v>249</v>
      </c>
      <c r="D80" s="68"/>
    </row>
    <row r="81">
      <c r="A81" s="68">
        <v>86.0</v>
      </c>
      <c r="B81" s="34" t="s">
        <v>250</v>
      </c>
      <c r="C81" s="68" t="s">
        <v>251</v>
      </c>
      <c r="D81" s="68" t="s">
        <v>252</v>
      </c>
    </row>
    <row r="82">
      <c r="A82" s="68">
        <v>87.0</v>
      </c>
      <c r="B82" s="34" t="s">
        <v>253</v>
      </c>
      <c r="C82" s="68" t="s">
        <v>254</v>
      </c>
      <c r="D82" s="68"/>
    </row>
    <row r="83">
      <c r="A83" s="68">
        <v>88.0</v>
      </c>
      <c r="B83" s="34" t="s">
        <v>255</v>
      </c>
      <c r="C83" s="68" t="s">
        <v>256</v>
      </c>
      <c r="D83" s="68"/>
    </row>
    <row r="84">
      <c r="A84" s="68">
        <v>90.0</v>
      </c>
      <c r="B84" s="34" t="s">
        <v>257</v>
      </c>
      <c r="C84" s="68" t="s">
        <v>258</v>
      </c>
      <c r="D84" s="68"/>
    </row>
  </sheetData>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6.43"/>
    <col customWidth="1" min="2" max="2" width="98.71"/>
    <col customWidth="1" min="3" max="3" width="72.43"/>
    <col customWidth="1" min="4" max="4" width="76.57"/>
  </cols>
  <sheetData>
    <row r="1">
      <c r="A1" s="3" t="s">
        <v>55</v>
      </c>
      <c r="B1" s="3" t="s">
        <v>2</v>
      </c>
      <c r="C1" s="3" t="s">
        <v>3</v>
      </c>
      <c r="D1" s="3" t="s">
        <v>4</v>
      </c>
    </row>
    <row r="2" ht="106.5" customHeight="1">
      <c r="A2" s="32">
        <v>1.0</v>
      </c>
      <c r="B2" s="69" t="s">
        <v>259</v>
      </c>
      <c r="C2" s="32" t="s">
        <v>260</v>
      </c>
      <c r="D2" s="32" t="s">
        <v>261</v>
      </c>
    </row>
    <row r="3" ht="69.75" customHeight="1">
      <c r="A3" s="32">
        <v>2.0</v>
      </c>
      <c r="B3" s="69" t="s">
        <v>262</v>
      </c>
      <c r="C3" s="32" t="s">
        <v>263</v>
      </c>
      <c r="D3" s="32" t="s">
        <v>264</v>
      </c>
    </row>
    <row r="4" ht="69.75" customHeight="1">
      <c r="A4" s="32">
        <v>4.0</v>
      </c>
      <c r="B4" s="69" t="s">
        <v>265</v>
      </c>
      <c r="C4" s="32" t="s">
        <v>266</v>
      </c>
      <c r="D4" s="32"/>
    </row>
    <row r="5" ht="115.5" customHeight="1">
      <c r="A5" s="32">
        <v>5.0</v>
      </c>
      <c r="B5" s="69" t="s">
        <v>267</v>
      </c>
      <c r="C5" s="32" t="s">
        <v>268</v>
      </c>
      <c r="D5" s="32" t="s">
        <v>269</v>
      </c>
    </row>
    <row r="6" ht="134.25" customHeight="1">
      <c r="A6" s="32">
        <v>7.0</v>
      </c>
      <c r="B6" s="69" t="s">
        <v>270</v>
      </c>
      <c r="C6" s="32" t="s">
        <v>271</v>
      </c>
      <c r="D6" s="32"/>
    </row>
    <row r="7" ht="134.25" customHeight="1">
      <c r="A7" s="32">
        <v>8.0</v>
      </c>
      <c r="B7" s="69" t="s">
        <v>272</v>
      </c>
      <c r="C7" s="32" t="s">
        <v>273</v>
      </c>
      <c r="D7" s="32"/>
    </row>
    <row r="8" ht="221.25" customHeight="1">
      <c r="A8" s="32">
        <v>9.0</v>
      </c>
      <c r="B8" s="69" t="s">
        <v>274</v>
      </c>
      <c r="C8" s="32" t="s">
        <v>275</v>
      </c>
      <c r="D8" s="32" t="s">
        <v>276</v>
      </c>
    </row>
    <row r="9" ht="134.25" customHeight="1">
      <c r="A9" s="32">
        <v>10.0</v>
      </c>
      <c r="B9" s="69" t="s">
        <v>277</v>
      </c>
      <c r="C9" s="32" t="s">
        <v>278</v>
      </c>
      <c r="D9" s="32" t="s">
        <v>279</v>
      </c>
    </row>
    <row r="10" ht="134.25" customHeight="1">
      <c r="A10" s="32">
        <v>11.0</v>
      </c>
      <c r="B10" s="69" t="s">
        <v>280</v>
      </c>
      <c r="C10" s="32" t="s">
        <v>281</v>
      </c>
      <c r="D10" s="32" t="s">
        <v>282</v>
      </c>
    </row>
    <row r="11" ht="134.25" customHeight="1">
      <c r="A11" s="32">
        <v>12.0</v>
      </c>
      <c r="B11" s="69" t="s">
        <v>283</v>
      </c>
      <c r="C11" s="32" t="s">
        <v>284</v>
      </c>
      <c r="D11" s="32" t="s">
        <v>285</v>
      </c>
    </row>
    <row r="12" ht="123.75" customHeight="1">
      <c r="A12" s="32">
        <v>13.0</v>
      </c>
      <c r="B12" s="69" t="s">
        <v>286</v>
      </c>
      <c r="C12" s="32" t="s">
        <v>287</v>
      </c>
      <c r="D12" s="32" t="s">
        <v>288</v>
      </c>
    </row>
    <row r="13" ht="123.75" customHeight="1">
      <c r="A13" s="32">
        <v>14.0</v>
      </c>
      <c r="B13" s="69" t="s">
        <v>289</v>
      </c>
      <c r="C13" s="32" t="s">
        <v>290</v>
      </c>
      <c r="D13" s="32"/>
    </row>
    <row r="14" ht="123.75" customHeight="1">
      <c r="A14" s="32">
        <v>15.0</v>
      </c>
      <c r="B14" s="69" t="s">
        <v>291</v>
      </c>
      <c r="C14" s="32" t="s">
        <v>292</v>
      </c>
      <c r="D14" s="32" t="s">
        <v>293</v>
      </c>
    </row>
    <row r="15" ht="123.75" customHeight="1">
      <c r="A15" s="32">
        <v>16.0</v>
      </c>
      <c r="B15" s="69" t="s">
        <v>294</v>
      </c>
      <c r="C15" s="32" t="s">
        <v>295</v>
      </c>
      <c r="D15" s="32" t="s">
        <v>296</v>
      </c>
    </row>
    <row r="16" ht="123.75" customHeight="1">
      <c r="A16" s="32">
        <v>17.0</v>
      </c>
      <c r="B16" s="69" t="s">
        <v>297</v>
      </c>
      <c r="C16" s="32" t="s">
        <v>298</v>
      </c>
      <c r="D16" s="32" t="s">
        <v>299</v>
      </c>
    </row>
    <row r="17">
      <c r="A17" s="32">
        <v>18.0</v>
      </c>
      <c r="B17" s="69" t="s">
        <v>300</v>
      </c>
      <c r="C17" s="32" t="s">
        <v>301</v>
      </c>
      <c r="D17" s="32"/>
    </row>
    <row r="18">
      <c r="A18" s="32">
        <v>19.0</v>
      </c>
      <c r="B18" s="69" t="s">
        <v>302</v>
      </c>
      <c r="C18" s="32" t="s">
        <v>303</v>
      </c>
      <c r="D18" s="32"/>
    </row>
    <row r="19">
      <c r="A19" s="32">
        <v>20.0</v>
      </c>
      <c r="B19" s="69" t="s">
        <v>304</v>
      </c>
      <c r="C19" s="32" t="s">
        <v>305</v>
      </c>
      <c r="D19" s="32"/>
    </row>
    <row r="20">
      <c r="A20" s="32">
        <v>21.0</v>
      </c>
      <c r="B20" s="69" t="s">
        <v>306</v>
      </c>
      <c r="C20" s="32" t="s">
        <v>307</v>
      </c>
      <c r="D20" s="32" t="s">
        <v>308</v>
      </c>
    </row>
    <row r="21">
      <c r="A21" s="32">
        <v>22.0</v>
      </c>
      <c r="B21" s="69" t="s">
        <v>309</v>
      </c>
      <c r="C21" s="32" t="s">
        <v>310</v>
      </c>
      <c r="D21" s="32"/>
    </row>
    <row r="22">
      <c r="A22" s="32">
        <v>23.0</v>
      </c>
      <c r="B22" s="69" t="s">
        <v>311</v>
      </c>
      <c r="C22" s="32" t="s">
        <v>312</v>
      </c>
      <c r="D22" s="32"/>
    </row>
    <row r="23">
      <c r="A23" s="32">
        <v>24.0</v>
      </c>
      <c r="B23" s="69" t="s">
        <v>313</v>
      </c>
      <c r="C23" s="32" t="s">
        <v>314</v>
      </c>
      <c r="D23" s="32"/>
    </row>
    <row r="24">
      <c r="A24" s="32">
        <v>25.0</v>
      </c>
      <c r="B24" s="69" t="s">
        <v>315</v>
      </c>
      <c r="C24" s="32" t="s">
        <v>316</v>
      </c>
      <c r="D24" s="32"/>
    </row>
    <row r="25">
      <c r="A25" s="32">
        <v>26.0</v>
      </c>
      <c r="B25" s="69" t="s">
        <v>317</v>
      </c>
      <c r="C25" s="32" t="s">
        <v>318</v>
      </c>
      <c r="D25" s="32"/>
    </row>
    <row r="26">
      <c r="A26" s="32">
        <v>27.0</v>
      </c>
      <c r="B26" s="69" t="s">
        <v>319</v>
      </c>
      <c r="C26" s="32" t="s">
        <v>320</v>
      </c>
      <c r="D26" s="32"/>
    </row>
    <row r="27">
      <c r="A27" s="32">
        <v>29.0</v>
      </c>
      <c r="B27" s="69" t="s">
        <v>321</v>
      </c>
      <c r="C27" s="32" t="s">
        <v>322</v>
      </c>
      <c r="D27" s="32" t="s">
        <v>323</v>
      </c>
    </row>
    <row r="28">
      <c r="A28" s="32">
        <v>30.0</v>
      </c>
      <c r="B28" s="69" t="s">
        <v>324</v>
      </c>
      <c r="C28" s="32" t="s">
        <v>325</v>
      </c>
      <c r="D28" s="32" t="s">
        <v>326</v>
      </c>
    </row>
    <row r="29">
      <c r="A29" s="32">
        <v>32.0</v>
      </c>
      <c r="B29" s="69" t="s">
        <v>327</v>
      </c>
      <c r="C29" s="32" t="s">
        <v>328</v>
      </c>
      <c r="D29" s="32" t="s">
        <v>329</v>
      </c>
    </row>
    <row r="30">
      <c r="A30" s="32">
        <v>33.0</v>
      </c>
      <c r="B30" s="69" t="s">
        <v>330</v>
      </c>
      <c r="C30" s="32" t="s">
        <v>331</v>
      </c>
      <c r="D30" s="32" t="s">
        <v>332</v>
      </c>
    </row>
    <row r="31">
      <c r="A31" s="34">
        <v>34.0</v>
      </c>
      <c r="B31" s="70" t="s">
        <v>333</v>
      </c>
      <c r="C31" s="34" t="s">
        <v>334</v>
      </c>
      <c r="D31" s="34"/>
    </row>
    <row r="32">
      <c r="A32" s="32">
        <v>35.0</v>
      </c>
      <c r="B32" s="70" t="s">
        <v>335</v>
      </c>
      <c r="C32" s="32" t="s">
        <v>336</v>
      </c>
      <c r="D32" s="32" t="s">
        <v>337</v>
      </c>
    </row>
    <row r="33" ht="53.25" customHeight="1">
      <c r="A33" s="32">
        <v>36.0</v>
      </c>
      <c r="B33" s="70" t="s">
        <v>338</v>
      </c>
      <c r="C33" s="32" t="s">
        <v>339</v>
      </c>
      <c r="D33" s="32" t="s">
        <v>340</v>
      </c>
    </row>
    <row r="34">
      <c r="A34" s="32">
        <v>37.0</v>
      </c>
      <c r="B34" s="69" t="s">
        <v>341</v>
      </c>
      <c r="C34" s="32" t="s">
        <v>342</v>
      </c>
      <c r="D34" s="32" t="s">
        <v>343</v>
      </c>
    </row>
    <row r="35">
      <c r="A35" s="32">
        <v>38.0</v>
      </c>
      <c r="B35" s="69" t="s">
        <v>344</v>
      </c>
      <c r="C35" s="32" t="s">
        <v>345</v>
      </c>
      <c r="D35" s="32"/>
    </row>
    <row r="36">
      <c r="A36" s="32">
        <v>39.0</v>
      </c>
      <c r="B36" s="69" t="s">
        <v>346</v>
      </c>
      <c r="C36" s="32" t="s">
        <v>347</v>
      </c>
      <c r="D36" s="32"/>
    </row>
    <row r="37">
      <c r="A37" s="32">
        <v>40.0</v>
      </c>
      <c r="B37" s="69" t="s">
        <v>348</v>
      </c>
      <c r="C37" s="32" t="s">
        <v>349</v>
      </c>
      <c r="D37" s="32"/>
    </row>
    <row r="38">
      <c r="A38" s="34">
        <v>41.0</v>
      </c>
      <c r="B38" s="70" t="s">
        <v>350</v>
      </c>
      <c r="C38" s="34" t="s">
        <v>351</v>
      </c>
      <c r="D38" s="34" t="s">
        <v>352</v>
      </c>
    </row>
    <row r="39">
      <c r="A39" s="32">
        <v>43.0</v>
      </c>
      <c r="B39" s="69" t="s">
        <v>353</v>
      </c>
      <c r="C39" s="32" t="s">
        <v>354</v>
      </c>
      <c r="D39" s="32" t="s">
        <v>355</v>
      </c>
    </row>
    <row r="40">
      <c r="A40" s="32">
        <v>44.0</v>
      </c>
      <c r="B40" s="69" t="s">
        <v>356</v>
      </c>
      <c r="C40" s="32" t="s">
        <v>357</v>
      </c>
      <c r="D40" s="32"/>
    </row>
    <row r="41">
      <c r="A41" s="32">
        <v>45.0</v>
      </c>
      <c r="B41" s="69" t="s">
        <v>358</v>
      </c>
      <c r="C41" s="32" t="s">
        <v>359</v>
      </c>
      <c r="D41" s="32" t="s">
        <v>360</v>
      </c>
    </row>
    <row r="42">
      <c r="A42" s="32">
        <v>46.0</v>
      </c>
      <c r="B42" s="69" t="s">
        <v>361</v>
      </c>
      <c r="C42" s="32" t="s">
        <v>362</v>
      </c>
      <c r="D42" s="32" t="s">
        <v>363</v>
      </c>
    </row>
    <row r="43">
      <c r="A43" s="32">
        <v>48.0</v>
      </c>
      <c r="B43" s="69" t="s">
        <v>364</v>
      </c>
      <c r="C43" s="32" t="s">
        <v>365</v>
      </c>
      <c r="D43" s="32"/>
    </row>
    <row r="44">
      <c r="A44" s="32">
        <v>49.0</v>
      </c>
      <c r="B44" s="71" t="s">
        <v>366</v>
      </c>
      <c r="C44" s="32" t="s">
        <v>367</v>
      </c>
      <c r="D44" s="67" t="s">
        <v>368</v>
      </c>
    </row>
    <row r="45">
      <c r="A45" s="32">
        <v>51.0</v>
      </c>
      <c r="B45" s="69" t="s">
        <v>369</v>
      </c>
      <c r="C45" s="32" t="s">
        <v>370</v>
      </c>
      <c r="D45" s="32"/>
    </row>
    <row r="46">
      <c r="A46" s="34">
        <v>52.0</v>
      </c>
      <c r="B46" s="70" t="s">
        <v>371</v>
      </c>
      <c r="C46" s="34" t="s">
        <v>372</v>
      </c>
      <c r="D46" s="34" t="s">
        <v>373</v>
      </c>
    </row>
    <row r="47">
      <c r="A47" s="34">
        <v>53.0</v>
      </c>
      <c r="B47" s="70" t="s">
        <v>374</v>
      </c>
      <c r="C47" s="34" t="s">
        <v>375</v>
      </c>
      <c r="D47" s="34" t="s">
        <v>376</v>
      </c>
    </row>
    <row r="48">
      <c r="A48" s="34">
        <v>54.0</v>
      </c>
      <c r="B48" s="70" t="s">
        <v>377</v>
      </c>
      <c r="C48" s="34" t="s">
        <v>378</v>
      </c>
      <c r="D48" s="34"/>
    </row>
    <row r="49">
      <c r="A49" s="34">
        <v>55.0</v>
      </c>
      <c r="B49" s="70" t="s">
        <v>379</v>
      </c>
      <c r="C49" s="34" t="s">
        <v>380</v>
      </c>
      <c r="D49" s="34"/>
    </row>
    <row r="50">
      <c r="A50" s="34">
        <v>56.0</v>
      </c>
      <c r="B50" s="70" t="s">
        <v>381</v>
      </c>
      <c r="C50" s="34" t="s">
        <v>382</v>
      </c>
      <c r="D50" s="34"/>
    </row>
    <row r="51">
      <c r="A51" s="34">
        <v>57.0</v>
      </c>
      <c r="B51" s="70" t="s">
        <v>383</v>
      </c>
      <c r="C51" s="34" t="s">
        <v>384</v>
      </c>
      <c r="D51" s="34" t="s">
        <v>385</v>
      </c>
    </row>
    <row r="52">
      <c r="A52" s="34">
        <v>58.0</v>
      </c>
      <c r="B52" s="70" t="s">
        <v>386</v>
      </c>
      <c r="C52" s="34" t="s">
        <v>387</v>
      </c>
      <c r="D52" s="34"/>
    </row>
    <row r="53">
      <c r="A53" s="34">
        <v>59.0</v>
      </c>
      <c r="B53" s="70" t="s">
        <v>388</v>
      </c>
      <c r="C53" s="34" t="s">
        <v>389</v>
      </c>
      <c r="D53" s="34" t="s">
        <v>390</v>
      </c>
    </row>
    <row r="54">
      <c r="A54" s="34">
        <v>60.0</v>
      </c>
      <c r="B54" s="70" t="s">
        <v>391</v>
      </c>
      <c r="C54" s="34" t="s">
        <v>392</v>
      </c>
      <c r="D54" s="34" t="s">
        <v>393</v>
      </c>
    </row>
    <row r="55">
      <c r="A55" s="34">
        <v>61.0</v>
      </c>
      <c r="B55" s="70" t="s">
        <v>394</v>
      </c>
      <c r="C55" s="34" t="s">
        <v>395</v>
      </c>
      <c r="D55" s="34"/>
    </row>
    <row r="56">
      <c r="A56" s="34">
        <v>62.0</v>
      </c>
      <c r="B56" s="70" t="s">
        <v>396</v>
      </c>
      <c r="C56" s="34" t="s">
        <v>397</v>
      </c>
      <c r="D56" s="34"/>
    </row>
    <row r="57">
      <c r="A57" s="34">
        <v>63.0</v>
      </c>
      <c r="B57" s="70" t="s">
        <v>398</v>
      </c>
      <c r="C57" s="34" t="s">
        <v>399</v>
      </c>
      <c r="D57" s="34" t="s">
        <v>400</v>
      </c>
    </row>
    <row r="58">
      <c r="A58" s="34">
        <v>64.0</v>
      </c>
      <c r="B58" s="70" t="s">
        <v>401</v>
      </c>
      <c r="C58" s="34" t="s">
        <v>402</v>
      </c>
      <c r="D58" s="34" t="s">
        <v>403</v>
      </c>
    </row>
    <row r="59">
      <c r="A59" s="34">
        <v>66.0</v>
      </c>
      <c r="B59" s="70" t="s">
        <v>404</v>
      </c>
      <c r="C59" s="34" t="s">
        <v>405</v>
      </c>
      <c r="D59" s="34"/>
    </row>
    <row r="60">
      <c r="A60" s="34">
        <v>67.0</v>
      </c>
      <c r="B60" s="70" t="s">
        <v>406</v>
      </c>
      <c r="C60" s="34" t="s">
        <v>407</v>
      </c>
      <c r="D60" s="34"/>
    </row>
    <row r="61">
      <c r="A61" s="34">
        <v>68.0</v>
      </c>
      <c r="B61" s="70" t="s">
        <v>408</v>
      </c>
      <c r="C61" s="34" t="s">
        <v>409</v>
      </c>
      <c r="D61" s="34"/>
    </row>
    <row r="62">
      <c r="A62" s="34">
        <v>69.0</v>
      </c>
      <c r="B62" s="70" t="s">
        <v>410</v>
      </c>
      <c r="C62" s="34" t="s">
        <v>411</v>
      </c>
      <c r="D62" s="34"/>
    </row>
    <row r="63">
      <c r="A63" s="34">
        <v>70.0</v>
      </c>
      <c r="B63" s="70" t="s">
        <v>412</v>
      </c>
      <c r="C63" s="34" t="s">
        <v>413</v>
      </c>
      <c r="D63" s="34"/>
    </row>
    <row r="64">
      <c r="A64" s="34">
        <v>71.0</v>
      </c>
      <c r="B64" s="70" t="s">
        <v>414</v>
      </c>
      <c r="C64" s="34" t="s">
        <v>415</v>
      </c>
      <c r="D64" s="34"/>
    </row>
    <row r="65">
      <c r="A65" s="34">
        <v>72.0</v>
      </c>
      <c r="B65" s="70" t="s">
        <v>416</v>
      </c>
      <c r="C65" s="34" t="s">
        <v>417</v>
      </c>
      <c r="D65" s="34"/>
    </row>
    <row r="66">
      <c r="A66" s="34">
        <v>73.0</v>
      </c>
      <c r="B66" s="70" t="s">
        <v>418</v>
      </c>
      <c r="C66" s="34" t="s">
        <v>419</v>
      </c>
      <c r="D66" s="34"/>
    </row>
    <row r="67">
      <c r="A67" s="34">
        <v>74.0</v>
      </c>
      <c r="B67" s="70" t="s">
        <v>420</v>
      </c>
      <c r="C67" s="34" t="s">
        <v>421</v>
      </c>
      <c r="D67" s="34"/>
    </row>
    <row r="68">
      <c r="A68" s="34">
        <v>75.0</v>
      </c>
      <c r="B68" s="70" t="s">
        <v>422</v>
      </c>
      <c r="C68" s="34" t="s">
        <v>423</v>
      </c>
      <c r="D68" s="34" t="s">
        <v>424</v>
      </c>
    </row>
    <row r="69">
      <c r="A69" s="34">
        <v>76.0</v>
      </c>
      <c r="B69" s="70" t="s">
        <v>425</v>
      </c>
      <c r="C69" s="34" t="s">
        <v>426</v>
      </c>
      <c r="D69" s="34" t="s">
        <v>427</v>
      </c>
    </row>
    <row r="70">
      <c r="A70" s="34">
        <v>77.0</v>
      </c>
      <c r="B70" s="70" t="s">
        <v>428</v>
      </c>
      <c r="C70" s="34" t="s">
        <v>429</v>
      </c>
      <c r="D70" s="34"/>
    </row>
    <row r="71">
      <c r="A71" s="34">
        <v>78.0</v>
      </c>
      <c r="B71" s="70" t="s">
        <v>430</v>
      </c>
      <c r="C71" s="34" t="s">
        <v>431</v>
      </c>
      <c r="D71" s="34" t="s">
        <v>432</v>
      </c>
    </row>
    <row r="72">
      <c r="A72" s="34">
        <v>79.0</v>
      </c>
      <c r="B72" s="70" t="s">
        <v>433</v>
      </c>
      <c r="C72" s="34" t="s">
        <v>434</v>
      </c>
      <c r="D72" s="34" t="s">
        <v>435</v>
      </c>
    </row>
    <row r="73">
      <c r="A73" s="34">
        <v>80.0</v>
      </c>
      <c r="B73" s="70" t="s">
        <v>436</v>
      </c>
      <c r="C73" s="34" t="s">
        <v>437</v>
      </c>
      <c r="D73" s="34" t="s">
        <v>438</v>
      </c>
    </row>
    <row r="74">
      <c r="A74" s="34">
        <v>81.0</v>
      </c>
      <c r="B74" s="70" t="s">
        <v>439</v>
      </c>
      <c r="C74" s="34" t="s">
        <v>440</v>
      </c>
      <c r="D74" s="34" t="s">
        <v>441</v>
      </c>
    </row>
    <row r="75">
      <c r="A75" s="34">
        <v>82.0</v>
      </c>
      <c r="B75" s="70" t="s">
        <v>442</v>
      </c>
      <c r="C75" s="34" t="s">
        <v>443</v>
      </c>
      <c r="D75" s="34"/>
    </row>
    <row r="76">
      <c r="A76" s="34">
        <v>83.0</v>
      </c>
      <c r="B76" s="70" t="s">
        <v>444</v>
      </c>
      <c r="C76" s="34" t="s">
        <v>445</v>
      </c>
      <c r="D76" s="34" t="s">
        <v>446</v>
      </c>
    </row>
    <row r="77">
      <c r="A77" s="34">
        <v>84.0</v>
      </c>
      <c r="B77" s="70" t="s">
        <v>447</v>
      </c>
      <c r="C77" s="34" t="s">
        <v>448</v>
      </c>
      <c r="D77" s="34"/>
    </row>
    <row r="78">
      <c r="A78" s="34">
        <v>85.0</v>
      </c>
      <c r="B78" s="70" t="s">
        <v>449</v>
      </c>
      <c r="C78" s="34" t="s">
        <v>450</v>
      </c>
      <c r="D78" s="34" t="s">
        <v>451</v>
      </c>
    </row>
    <row r="79">
      <c r="A79" s="34">
        <v>86.0</v>
      </c>
      <c r="B79" s="70" t="s">
        <v>452</v>
      </c>
      <c r="C79" s="34" t="s">
        <v>453</v>
      </c>
      <c r="D79" s="34" t="s">
        <v>454</v>
      </c>
    </row>
    <row r="80">
      <c r="A80" s="34">
        <v>87.0</v>
      </c>
      <c r="B80" s="70" t="s">
        <v>455</v>
      </c>
      <c r="C80" s="34" t="s">
        <v>456</v>
      </c>
      <c r="D80" s="34"/>
    </row>
    <row r="81">
      <c r="A81" s="34">
        <v>88.0</v>
      </c>
      <c r="B81" s="70" t="s">
        <v>457</v>
      </c>
      <c r="C81" s="34" t="s">
        <v>458</v>
      </c>
      <c r="D81" s="34" t="s">
        <v>459</v>
      </c>
    </row>
    <row r="82">
      <c r="A82" s="34">
        <v>89.0</v>
      </c>
      <c r="B82" s="70" t="s">
        <v>460</v>
      </c>
      <c r="C82" s="34" t="s">
        <v>461</v>
      </c>
      <c r="D82" s="34"/>
    </row>
    <row r="83">
      <c r="A83" s="34">
        <v>90.0</v>
      </c>
      <c r="B83" s="70" t="s">
        <v>462</v>
      </c>
      <c r="C83" s="34" t="s">
        <v>463</v>
      </c>
      <c r="D83" s="34"/>
    </row>
    <row r="84">
      <c r="A84" s="34">
        <v>91.0</v>
      </c>
      <c r="B84" s="70" t="s">
        <v>464</v>
      </c>
      <c r="C84" s="34" t="s">
        <v>465</v>
      </c>
      <c r="D84" s="34" t="s">
        <v>466</v>
      </c>
    </row>
    <row r="85">
      <c r="A85" s="34">
        <v>92.0</v>
      </c>
      <c r="B85" s="70" t="s">
        <v>467</v>
      </c>
      <c r="C85" s="34" t="s">
        <v>468</v>
      </c>
      <c r="D85" s="34"/>
    </row>
    <row r="86">
      <c r="A86" s="34">
        <v>93.0</v>
      </c>
      <c r="B86" s="70" t="s">
        <v>469</v>
      </c>
      <c r="C86" s="34" t="s">
        <v>470</v>
      </c>
      <c r="D86" s="34"/>
    </row>
    <row r="87">
      <c r="A87" s="34">
        <v>94.0</v>
      </c>
      <c r="B87" s="70" t="s">
        <v>471</v>
      </c>
      <c r="C87" s="34" t="s">
        <v>472</v>
      </c>
      <c r="D87" s="34" t="s">
        <v>473</v>
      </c>
    </row>
    <row r="88">
      <c r="A88" s="34">
        <v>95.0</v>
      </c>
      <c r="B88" s="70" t="s">
        <v>474</v>
      </c>
      <c r="C88" s="34" t="s">
        <v>475</v>
      </c>
      <c r="D88" s="34"/>
    </row>
    <row r="89">
      <c r="A89" s="34">
        <v>96.0</v>
      </c>
      <c r="B89" s="70" t="s">
        <v>476</v>
      </c>
      <c r="C89" s="34" t="s">
        <v>477</v>
      </c>
      <c r="D89" s="34"/>
    </row>
    <row r="90">
      <c r="A90" s="34">
        <v>97.0</v>
      </c>
      <c r="B90" s="70" t="s">
        <v>478</v>
      </c>
      <c r="C90" s="34" t="s">
        <v>479</v>
      </c>
      <c r="D90" s="34" t="s">
        <v>480</v>
      </c>
    </row>
    <row r="91">
      <c r="A91" s="34">
        <v>98.0</v>
      </c>
      <c r="B91" s="70" t="s">
        <v>481</v>
      </c>
      <c r="C91" s="34" t="s">
        <v>482</v>
      </c>
      <c r="D91" s="34"/>
    </row>
    <row r="92">
      <c r="A92" s="34">
        <v>100.0</v>
      </c>
      <c r="B92" s="70" t="s">
        <v>483</v>
      </c>
      <c r="C92" s="34" t="s">
        <v>484</v>
      </c>
      <c r="D92" s="34" t="s">
        <v>485</v>
      </c>
    </row>
    <row r="93">
      <c r="A93" s="34">
        <v>103.0</v>
      </c>
      <c r="B93" s="70" t="s">
        <v>486</v>
      </c>
      <c r="C93" s="34" t="s">
        <v>487</v>
      </c>
      <c r="D93" s="34"/>
    </row>
    <row r="94">
      <c r="A94" s="34">
        <v>104.0</v>
      </c>
      <c r="B94" s="70" t="s">
        <v>488</v>
      </c>
      <c r="C94" s="34" t="s">
        <v>489</v>
      </c>
      <c r="D94" s="34" t="s">
        <v>490</v>
      </c>
    </row>
    <row r="95">
      <c r="A95" s="34">
        <v>105.0</v>
      </c>
      <c r="B95" s="70" t="s">
        <v>491</v>
      </c>
      <c r="C95" s="34" t="s">
        <v>492</v>
      </c>
      <c r="D95" s="34"/>
    </row>
    <row r="96">
      <c r="A96" s="34">
        <v>106.0</v>
      </c>
      <c r="B96" s="70" t="s">
        <v>493</v>
      </c>
      <c r="C96" s="34" t="s">
        <v>494</v>
      </c>
      <c r="D96" s="34"/>
    </row>
    <row r="97">
      <c r="A97" s="34">
        <v>108.0</v>
      </c>
      <c r="B97" s="70" t="s">
        <v>495</v>
      </c>
      <c r="C97" s="34" t="s">
        <v>496</v>
      </c>
      <c r="D97" s="34"/>
    </row>
    <row r="98">
      <c r="A98" s="34">
        <v>109.0</v>
      </c>
      <c r="B98" s="70" t="s">
        <v>497</v>
      </c>
      <c r="C98" s="34" t="s">
        <v>498</v>
      </c>
      <c r="D98" s="34" t="s">
        <v>499</v>
      </c>
    </row>
    <row r="99">
      <c r="A99" s="34">
        <v>110.0</v>
      </c>
      <c r="B99" s="70" t="s">
        <v>500</v>
      </c>
      <c r="C99" s="34" t="s">
        <v>501</v>
      </c>
      <c r="D99" s="34" t="s">
        <v>502</v>
      </c>
    </row>
    <row r="100">
      <c r="A100" s="34">
        <v>111.0</v>
      </c>
      <c r="B100" s="70" t="s">
        <v>503</v>
      </c>
      <c r="C100" s="34" t="s">
        <v>504</v>
      </c>
      <c r="D100" s="34" t="s">
        <v>505</v>
      </c>
    </row>
    <row r="101">
      <c r="A101" s="34">
        <v>112.0</v>
      </c>
      <c r="B101" s="70" t="s">
        <v>506</v>
      </c>
      <c r="C101" s="34" t="s">
        <v>507</v>
      </c>
      <c r="D101" s="34" t="s">
        <v>508</v>
      </c>
    </row>
    <row r="102">
      <c r="A102" s="34">
        <v>113.0</v>
      </c>
      <c r="B102" s="70" t="s">
        <v>509</v>
      </c>
      <c r="C102" s="34" t="s">
        <v>510</v>
      </c>
      <c r="D102" s="34"/>
    </row>
    <row r="103">
      <c r="A103" s="34">
        <v>114.0</v>
      </c>
      <c r="B103" s="70" t="s">
        <v>511</v>
      </c>
      <c r="C103" s="34" t="s">
        <v>512</v>
      </c>
      <c r="D103" s="34" t="s">
        <v>513</v>
      </c>
    </row>
    <row r="104">
      <c r="A104" s="34">
        <v>115.0</v>
      </c>
      <c r="B104" s="70" t="s">
        <v>514</v>
      </c>
      <c r="C104" s="34" t="s">
        <v>515</v>
      </c>
      <c r="D104" s="34" t="s">
        <v>516</v>
      </c>
    </row>
    <row r="105">
      <c r="A105" s="34">
        <v>116.0</v>
      </c>
      <c r="B105" s="70" t="s">
        <v>517</v>
      </c>
      <c r="C105" s="34" t="s">
        <v>518</v>
      </c>
      <c r="D105" s="34" t="s">
        <v>519</v>
      </c>
    </row>
    <row r="106">
      <c r="A106" s="34">
        <v>117.0</v>
      </c>
      <c r="B106" s="72" t="s">
        <v>520</v>
      </c>
      <c r="C106" s="34" t="s">
        <v>521</v>
      </c>
      <c r="D106" s="34" t="s">
        <v>522</v>
      </c>
    </row>
    <row r="107">
      <c r="A107" s="34">
        <v>118.0</v>
      </c>
      <c r="B107" s="70" t="s">
        <v>523</v>
      </c>
      <c r="C107" s="34" t="s">
        <v>524</v>
      </c>
      <c r="D107" s="34" t="s">
        <v>525</v>
      </c>
    </row>
    <row r="108">
      <c r="A108" s="34">
        <v>119.0</v>
      </c>
      <c r="B108" s="72" t="s">
        <v>526</v>
      </c>
      <c r="C108" s="34" t="s">
        <v>527</v>
      </c>
      <c r="D108" s="34"/>
    </row>
    <row r="109">
      <c r="A109" s="34">
        <v>120.0</v>
      </c>
      <c r="B109" s="70" t="s">
        <v>528</v>
      </c>
      <c r="C109" s="34" t="s">
        <v>529</v>
      </c>
      <c r="D109" s="34" t="s">
        <v>530</v>
      </c>
    </row>
    <row r="110">
      <c r="A110" s="34">
        <v>121.0</v>
      </c>
      <c r="B110" s="70" t="s">
        <v>531</v>
      </c>
      <c r="C110" s="34" t="s">
        <v>532</v>
      </c>
      <c r="D110" s="34" t="s">
        <v>533</v>
      </c>
    </row>
    <row r="111">
      <c r="A111" s="34">
        <v>122.0</v>
      </c>
      <c r="B111" s="70" t="s">
        <v>534</v>
      </c>
      <c r="C111" s="34" t="s">
        <v>535</v>
      </c>
      <c r="D111" s="34"/>
    </row>
    <row r="112">
      <c r="A112" s="34">
        <v>123.0</v>
      </c>
      <c r="B112" s="72" t="s">
        <v>536</v>
      </c>
      <c r="C112" s="34" t="s">
        <v>537</v>
      </c>
      <c r="D112" s="43" t="s">
        <v>538</v>
      </c>
    </row>
    <row r="113">
      <c r="A113" s="34">
        <v>124.0</v>
      </c>
      <c r="B113" s="70" t="s">
        <v>539</v>
      </c>
      <c r="C113" s="34" t="s">
        <v>540</v>
      </c>
      <c r="D113" s="73" t="s">
        <v>541</v>
      </c>
    </row>
    <row r="114">
      <c r="A114" s="34">
        <v>125.0</v>
      </c>
      <c r="B114" s="70" t="s">
        <v>542</v>
      </c>
      <c r="C114" s="34" t="s">
        <v>543</v>
      </c>
      <c r="D114" s="34" t="s">
        <v>544</v>
      </c>
    </row>
    <row r="115">
      <c r="A115" s="34">
        <v>126.0</v>
      </c>
      <c r="B115" s="70" t="s">
        <v>545</v>
      </c>
      <c r="C115" s="34" t="s">
        <v>546</v>
      </c>
      <c r="D115" s="34" t="s">
        <v>547</v>
      </c>
    </row>
    <row r="116">
      <c r="A116" s="34">
        <v>127.0</v>
      </c>
      <c r="B116" s="70" t="s">
        <v>548</v>
      </c>
      <c r="C116" s="34" t="s">
        <v>549</v>
      </c>
      <c r="D116" s="34"/>
    </row>
    <row r="117">
      <c r="A117" s="34">
        <v>128.0</v>
      </c>
      <c r="B117" s="70" t="s">
        <v>550</v>
      </c>
      <c r="C117" s="34" t="s">
        <v>551</v>
      </c>
      <c r="D117" s="34" t="s">
        <v>552</v>
      </c>
    </row>
    <row r="118">
      <c r="A118" s="34">
        <v>129.0</v>
      </c>
      <c r="B118" s="70" t="s">
        <v>553</v>
      </c>
      <c r="C118" s="34" t="s">
        <v>554</v>
      </c>
      <c r="D118" s="34"/>
    </row>
    <row r="119">
      <c r="A119" s="34">
        <v>130.0</v>
      </c>
      <c r="B119" s="70" t="s">
        <v>555</v>
      </c>
      <c r="C119" s="34" t="s">
        <v>556</v>
      </c>
      <c r="D119" s="34" t="s">
        <v>557</v>
      </c>
    </row>
    <row r="120">
      <c r="A120" s="34">
        <v>131.0</v>
      </c>
      <c r="B120" s="70" t="s">
        <v>558</v>
      </c>
      <c r="C120" s="34" t="s">
        <v>559</v>
      </c>
      <c r="D120" s="34"/>
    </row>
    <row r="121">
      <c r="A121" s="34">
        <v>132.0</v>
      </c>
      <c r="B121" s="70" t="s">
        <v>560</v>
      </c>
      <c r="C121" s="34" t="s">
        <v>561</v>
      </c>
      <c r="D121" s="34"/>
    </row>
    <row r="122">
      <c r="A122" s="34">
        <v>133.0</v>
      </c>
      <c r="B122" s="72" t="s">
        <v>562</v>
      </c>
      <c r="C122" s="34" t="s">
        <v>563</v>
      </c>
      <c r="D122" s="34" t="s">
        <v>564</v>
      </c>
    </row>
    <row r="123">
      <c r="A123" s="34">
        <v>134.0</v>
      </c>
      <c r="B123" s="70" t="s">
        <v>565</v>
      </c>
      <c r="C123" s="34" t="s">
        <v>566</v>
      </c>
      <c r="D123" s="34"/>
    </row>
    <row r="124">
      <c r="A124" s="34">
        <v>136.0</v>
      </c>
      <c r="B124" s="70" t="s">
        <v>567</v>
      </c>
      <c r="C124" s="34" t="s">
        <v>568</v>
      </c>
      <c r="D124" s="34"/>
    </row>
    <row r="125">
      <c r="A125" s="34">
        <v>137.0</v>
      </c>
      <c r="B125" s="70" t="s">
        <v>569</v>
      </c>
      <c r="C125" s="34" t="s">
        <v>570</v>
      </c>
      <c r="D125" s="34" t="s">
        <v>571</v>
      </c>
    </row>
    <row r="126">
      <c r="A126" s="34">
        <v>138.0</v>
      </c>
      <c r="B126" s="72" t="s">
        <v>572</v>
      </c>
      <c r="C126" s="34" t="s">
        <v>573</v>
      </c>
      <c r="D126" s="34"/>
    </row>
    <row r="127">
      <c r="A127" s="34">
        <v>139.0</v>
      </c>
      <c r="B127" s="70" t="s">
        <v>574</v>
      </c>
      <c r="C127" s="34" t="s">
        <v>575</v>
      </c>
      <c r="D127" s="34"/>
    </row>
    <row r="128">
      <c r="A128" s="34">
        <v>140.0</v>
      </c>
      <c r="B128" s="72" t="s">
        <v>576</v>
      </c>
      <c r="C128" s="34" t="s">
        <v>577</v>
      </c>
      <c r="D128" s="34"/>
    </row>
    <row r="129">
      <c r="A129" s="34">
        <v>141.0</v>
      </c>
      <c r="B129" s="70" t="s">
        <v>578</v>
      </c>
      <c r="C129" s="34" t="s">
        <v>579</v>
      </c>
      <c r="D129" s="34"/>
    </row>
    <row r="130">
      <c r="A130" s="34">
        <v>142.0</v>
      </c>
      <c r="B130" s="70" t="s">
        <v>580</v>
      </c>
      <c r="C130" s="34" t="s">
        <v>581</v>
      </c>
      <c r="D130" s="34"/>
    </row>
    <row r="131">
      <c r="A131" s="34">
        <v>143.0</v>
      </c>
      <c r="B131" s="70" t="s">
        <v>582</v>
      </c>
      <c r="C131" s="34" t="s">
        <v>583</v>
      </c>
      <c r="D131" s="34"/>
    </row>
    <row r="132">
      <c r="A132" s="34">
        <v>144.0</v>
      </c>
      <c r="B132" s="70" t="s">
        <v>584</v>
      </c>
      <c r="C132" s="34" t="s">
        <v>585</v>
      </c>
      <c r="D132" s="34"/>
    </row>
    <row r="133">
      <c r="A133" s="34">
        <v>145.0</v>
      </c>
      <c r="B133" s="70" t="s">
        <v>586</v>
      </c>
      <c r="C133" s="34" t="s">
        <v>587</v>
      </c>
      <c r="D133" s="34"/>
    </row>
    <row r="134">
      <c r="A134" s="34">
        <v>146.0</v>
      </c>
      <c r="B134" s="70" t="s">
        <v>588</v>
      </c>
      <c r="C134" s="34" t="s">
        <v>589</v>
      </c>
      <c r="D134" s="34" t="s">
        <v>590</v>
      </c>
    </row>
    <row r="135">
      <c r="A135" s="34">
        <v>147.0</v>
      </c>
      <c r="B135" s="72" t="s">
        <v>591</v>
      </c>
      <c r="C135" s="34" t="s">
        <v>592</v>
      </c>
      <c r="D135" s="34"/>
    </row>
    <row r="136">
      <c r="A136" s="34">
        <v>148.0</v>
      </c>
      <c r="B136" s="70" t="s">
        <v>593</v>
      </c>
      <c r="C136" s="34" t="s">
        <v>594</v>
      </c>
      <c r="D136" s="34"/>
    </row>
    <row r="137">
      <c r="A137" s="34">
        <v>149.0</v>
      </c>
      <c r="B137" s="70" t="s">
        <v>595</v>
      </c>
      <c r="C137" s="34" t="s">
        <v>596</v>
      </c>
      <c r="D137" s="34"/>
    </row>
    <row r="138">
      <c r="A138" s="34">
        <v>150.0</v>
      </c>
      <c r="B138" s="70" t="s">
        <v>597</v>
      </c>
      <c r="C138" s="34" t="s">
        <v>598</v>
      </c>
      <c r="D138" s="34"/>
    </row>
    <row r="139">
      <c r="A139" s="34">
        <v>151.0</v>
      </c>
      <c r="B139" s="70" t="s">
        <v>599</v>
      </c>
      <c r="C139" s="34" t="s">
        <v>600</v>
      </c>
      <c r="D139" s="34" t="s">
        <v>601</v>
      </c>
    </row>
    <row r="140">
      <c r="A140" s="34">
        <v>152.0</v>
      </c>
      <c r="B140" s="70" t="s">
        <v>602</v>
      </c>
      <c r="C140" s="34" t="s">
        <v>603</v>
      </c>
      <c r="D140" s="34"/>
    </row>
    <row r="141">
      <c r="A141" s="34">
        <v>153.0</v>
      </c>
      <c r="B141" s="70" t="s">
        <v>604</v>
      </c>
      <c r="C141" s="34" t="s">
        <v>605</v>
      </c>
      <c r="D141" s="34"/>
    </row>
    <row r="142">
      <c r="A142" s="34">
        <v>154.0</v>
      </c>
      <c r="B142" s="70" t="s">
        <v>606</v>
      </c>
      <c r="C142" s="34" t="s">
        <v>607</v>
      </c>
      <c r="D142" s="34"/>
    </row>
    <row r="143">
      <c r="A143" s="34">
        <v>155.0</v>
      </c>
      <c r="B143" s="70" t="s">
        <v>608</v>
      </c>
      <c r="C143" s="34" t="s">
        <v>609</v>
      </c>
      <c r="D143" s="34" t="s">
        <v>610</v>
      </c>
    </row>
    <row r="144">
      <c r="A144" s="34">
        <v>156.0</v>
      </c>
      <c r="B144" s="70" t="s">
        <v>611</v>
      </c>
      <c r="C144" s="34" t="s">
        <v>612</v>
      </c>
      <c r="D144" s="34"/>
    </row>
    <row r="145">
      <c r="A145" s="34">
        <v>157.0</v>
      </c>
      <c r="B145" s="70" t="s">
        <v>613</v>
      </c>
      <c r="C145" s="34" t="s">
        <v>614</v>
      </c>
      <c r="D145" s="34" t="s">
        <v>615</v>
      </c>
    </row>
    <row r="146">
      <c r="A146" s="34">
        <v>158.0</v>
      </c>
      <c r="B146" s="70" t="s">
        <v>616</v>
      </c>
      <c r="C146" s="34" t="s">
        <v>617</v>
      </c>
      <c r="D146" s="34"/>
    </row>
    <row r="147">
      <c r="A147" s="34">
        <v>159.0</v>
      </c>
      <c r="B147" s="70" t="s">
        <v>618</v>
      </c>
      <c r="C147" s="34" t="s">
        <v>619</v>
      </c>
      <c r="D147" s="34"/>
    </row>
    <row r="148">
      <c r="A148" s="34">
        <v>160.0</v>
      </c>
      <c r="B148" s="70" t="s">
        <v>620</v>
      </c>
      <c r="C148" s="34" t="s">
        <v>621</v>
      </c>
      <c r="D148" s="34"/>
    </row>
    <row r="149">
      <c r="A149" s="34">
        <v>161.0</v>
      </c>
      <c r="B149" s="70" t="s">
        <v>622</v>
      </c>
      <c r="C149" s="34" t="s">
        <v>623</v>
      </c>
      <c r="D149" s="34" t="s">
        <v>624</v>
      </c>
    </row>
    <row r="150">
      <c r="A150" s="34">
        <v>162.0</v>
      </c>
      <c r="B150" s="70" t="s">
        <v>625</v>
      </c>
      <c r="C150" s="34" t="s">
        <v>626</v>
      </c>
      <c r="D150" s="34"/>
    </row>
    <row r="151">
      <c r="A151" s="34">
        <v>163.0</v>
      </c>
      <c r="B151" s="70" t="s">
        <v>627</v>
      </c>
      <c r="C151" s="34" t="s">
        <v>628</v>
      </c>
      <c r="D151" s="34"/>
    </row>
    <row r="152">
      <c r="A152" s="34">
        <v>164.0</v>
      </c>
      <c r="B152" s="70" t="s">
        <v>629</v>
      </c>
      <c r="C152" s="34" t="s">
        <v>630</v>
      </c>
      <c r="D152" s="34" t="s">
        <v>631</v>
      </c>
    </row>
    <row r="153">
      <c r="A153" s="34">
        <v>165.0</v>
      </c>
      <c r="B153" s="70" t="s">
        <v>632</v>
      </c>
      <c r="C153" s="34" t="s">
        <v>633</v>
      </c>
      <c r="D153" s="34"/>
    </row>
    <row r="154">
      <c r="A154" s="34">
        <v>166.0</v>
      </c>
      <c r="B154" s="70" t="s">
        <v>634</v>
      </c>
      <c r="C154" s="34" t="s">
        <v>635</v>
      </c>
      <c r="D154" s="34"/>
    </row>
    <row r="155">
      <c r="A155" s="34">
        <v>167.0</v>
      </c>
      <c r="B155" s="70" t="s">
        <v>636</v>
      </c>
      <c r="C155" s="34" t="s">
        <v>637</v>
      </c>
      <c r="D155" s="34"/>
    </row>
    <row r="156">
      <c r="A156" s="34">
        <v>168.0</v>
      </c>
      <c r="B156" s="70" t="s">
        <v>638</v>
      </c>
      <c r="C156" s="34" t="s">
        <v>639</v>
      </c>
      <c r="D156" s="34"/>
    </row>
    <row r="157">
      <c r="A157" s="34">
        <v>169.0</v>
      </c>
      <c r="B157" s="70" t="s">
        <v>640</v>
      </c>
      <c r="C157" s="34" t="s">
        <v>641</v>
      </c>
      <c r="D157" s="34"/>
    </row>
    <row r="158">
      <c r="A158" s="34">
        <v>170.0</v>
      </c>
      <c r="B158" s="70" t="s">
        <v>642</v>
      </c>
      <c r="C158" s="34" t="s">
        <v>643</v>
      </c>
      <c r="D158" s="34"/>
    </row>
    <row r="159">
      <c r="A159" s="34">
        <v>171.0</v>
      </c>
      <c r="B159" s="70" t="s">
        <v>644</v>
      </c>
      <c r="C159" s="34" t="s">
        <v>645</v>
      </c>
      <c r="D159" s="34"/>
    </row>
    <row r="160">
      <c r="A160" s="34">
        <v>172.0</v>
      </c>
      <c r="B160" s="70" t="s">
        <v>646</v>
      </c>
      <c r="C160" s="34" t="s">
        <v>647</v>
      </c>
      <c r="D160" s="34" t="s">
        <v>648</v>
      </c>
    </row>
    <row r="161">
      <c r="A161" s="34">
        <v>173.0</v>
      </c>
      <c r="B161" s="70" t="s">
        <v>649</v>
      </c>
      <c r="C161" s="34" t="s">
        <v>650</v>
      </c>
      <c r="D161" s="34"/>
    </row>
    <row r="162">
      <c r="A162" s="34">
        <v>175.0</v>
      </c>
      <c r="B162" s="70" t="s">
        <v>651</v>
      </c>
      <c r="C162" s="34" t="s">
        <v>652</v>
      </c>
      <c r="D162" s="34" t="s">
        <v>653</v>
      </c>
    </row>
    <row r="163">
      <c r="A163" s="34">
        <v>176.0</v>
      </c>
      <c r="B163" s="70" t="s">
        <v>654</v>
      </c>
      <c r="C163" s="34" t="s">
        <v>655</v>
      </c>
      <c r="D163" s="34"/>
    </row>
    <row r="164">
      <c r="A164" s="34">
        <v>177.0</v>
      </c>
      <c r="B164" s="70" t="s">
        <v>656</v>
      </c>
      <c r="C164" s="34" t="s">
        <v>657</v>
      </c>
      <c r="D164" s="34"/>
    </row>
    <row r="165">
      <c r="A165" s="34">
        <v>178.0</v>
      </c>
      <c r="B165" s="70" t="s">
        <v>658</v>
      </c>
      <c r="C165" s="34" t="s">
        <v>659</v>
      </c>
      <c r="D165" s="34"/>
    </row>
    <row r="166">
      <c r="A166" s="34">
        <v>179.0</v>
      </c>
      <c r="B166" s="70" t="s">
        <v>660</v>
      </c>
      <c r="C166" s="34" t="s">
        <v>661</v>
      </c>
      <c r="D166" s="34"/>
    </row>
    <row r="167">
      <c r="A167" s="34">
        <v>180.0</v>
      </c>
      <c r="B167" s="70" t="s">
        <v>662</v>
      </c>
      <c r="C167" s="34" t="s">
        <v>663</v>
      </c>
      <c r="D167" s="34"/>
    </row>
    <row r="168">
      <c r="A168" s="34">
        <v>181.0</v>
      </c>
      <c r="B168" s="70" t="s">
        <v>664</v>
      </c>
      <c r="C168" s="34" t="s">
        <v>665</v>
      </c>
      <c r="D168" s="34"/>
    </row>
    <row r="169">
      <c r="A169" s="34">
        <v>183.0</v>
      </c>
      <c r="B169" s="70" t="s">
        <v>666</v>
      </c>
      <c r="C169" s="34" t="s">
        <v>667</v>
      </c>
      <c r="D169" s="43" t="s">
        <v>668</v>
      </c>
    </row>
    <row r="170">
      <c r="A170" s="34">
        <v>184.0</v>
      </c>
      <c r="B170" s="70" t="s">
        <v>669</v>
      </c>
      <c r="C170" s="34" t="s">
        <v>670</v>
      </c>
      <c r="D170" s="34" t="s">
        <v>671</v>
      </c>
    </row>
    <row r="171">
      <c r="A171" s="34">
        <v>185.0</v>
      </c>
      <c r="B171" s="70" t="s">
        <v>672</v>
      </c>
      <c r="C171" s="34" t="s">
        <v>673</v>
      </c>
      <c r="D171" s="34"/>
    </row>
    <row r="172">
      <c r="A172" s="34">
        <v>186.0</v>
      </c>
      <c r="B172" s="70" t="s">
        <v>674</v>
      </c>
      <c r="C172" s="34" t="s">
        <v>675</v>
      </c>
      <c r="D172" s="34"/>
    </row>
    <row r="173">
      <c r="A173" s="34">
        <v>187.0</v>
      </c>
      <c r="B173" s="70" t="s">
        <v>676</v>
      </c>
      <c r="C173" s="34" t="s">
        <v>677</v>
      </c>
      <c r="D173" s="34" t="s">
        <v>678</v>
      </c>
    </row>
    <row r="174">
      <c r="A174" s="34">
        <v>188.0</v>
      </c>
      <c r="B174" s="70" t="s">
        <v>679</v>
      </c>
      <c r="C174" s="34" t="s">
        <v>680</v>
      </c>
      <c r="D174" s="34"/>
    </row>
    <row r="175">
      <c r="A175" s="34">
        <v>189.0</v>
      </c>
      <c r="B175" s="70" t="s">
        <v>681</v>
      </c>
      <c r="C175" s="34" t="s">
        <v>682</v>
      </c>
      <c r="D175" s="34" t="s">
        <v>683</v>
      </c>
    </row>
    <row r="176">
      <c r="A176" s="34">
        <v>190.0</v>
      </c>
      <c r="B176" s="70" t="s">
        <v>684</v>
      </c>
      <c r="C176" s="34" t="s">
        <v>685</v>
      </c>
      <c r="D176" s="34"/>
    </row>
    <row r="177">
      <c r="A177" s="34">
        <v>191.0</v>
      </c>
      <c r="B177" s="70" t="s">
        <v>686</v>
      </c>
      <c r="C177" s="34" t="s">
        <v>687</v>
      </c>
      <c r="D177" s="34" t="s">
        <v>688</v>
      </c>
    </row>
    <row r="178">
      <c r="A178" s="34">
        <v>192.0</v>
      </c>
      <c r="B178" s="70" t="s">
        <v>689</v>
      </c>
      <c r="C178" s="34" t="s">
        <v>690</v>
      </c>
      <c r="D178" s="34" t="s">
        <v>691</v>
      </c>
    </row>
    <row r="179">
      <c r="A179" s="34">
        <v>193.0</v>
      </c>
      <c r="B179" s="70" t="s">
        <v>692</v>
      </c>
      <c r="C179" s="34" t="s">
        <v>693</v>
      </c>
      <c r="D179" s="34"/>
    </row>
    <row r="180">
      <c r="A180" s="34">
        <v>194.0</v>
      </c>
      <c r="B180" s="70" t="s">
        <v>694</v>
      </c>
      <c r="C180" s="34" t="s">
        <v>695</v>
      </c>
      <c r="D180" s="34"/>
    </row>
    <row r="181">
      <c r="A181" s="34">
        <v>195.0</v>
      </c>
      <c r="B181" s="70" t="s">
        <v>696</v>
      </c>
      <c r="C181" s="34" t="s">
        <v>697</v>
      </c>
      <c r="D181" s="34"/>
    </row>
    <row r="182">
      <c r="A182" s="34">
        <v>196.0</v>
      </c>
      <c r="B182" s="70" t="s">
        <v>698</v>
      </c>
      <c r="C182" s="34" t="s">
        <v>699</v>
      </c>
      <c r="D182" s="34"/>
    </row>
    <row r="183">
      <c r="A183" s="34">
        <v>197.0</v>
      </c>
      <c r="B183" s="70" t="s">
        <v>700</v>
      </c>
      <c r="C183" s="34" t="s">
        <v>701</v>
      </c>
      <c r="D183" s="34"/>
    </row>
    <row r="184">
      <c r="A184" s="34">
        <v>198.0</v>
      </c>
      <c r="B184" s="70" t="s">
        <v>702</v>
      </c>
      <c r="C184" s="34" t="s">
        <v>703</v>
      </c>
      <c r="D184" s="34"/>
    </row>
    <row r="185">
      <c r="A185" s="34">
        <v>199.0</v>
      </c>
      <c r="B185" s="70" t="s">
        <v>704</v>
      </c>
      <c r="C185" s="34" t="s">
        <v>705</v>
      </c>
      <c r="D185" s="34"/>
    </row>
    <row r="186">
      <c r="A186" s="34">
        <v>200.0</v>
      </c>
      <c r="B186" s="70" t="s">
        <v>706</v>
      </c>
      <c r="C186" s="34" t="s">
        <v>707</v>
      </c>
      <c r="D186" s="34"/>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4.29"/>
    <col customWidth="1" min="3" max="3" width="100.86"/>
    <col customWidth="1" min="4" max="5" width="59.0"/>
    <col customWidth="1" min="6" max="6" width="28.71"/>
    <col customWidth="1" min="7" max="7" width="47.43"/>
  </cols>
  <sheetData>
    <row r="1">
      <c r="A1" s="1" t="s">
        <v>0</v>
      </c>
      <c r="B1" s="1" t="s">
        <v>1</v>
      </c>
      <c r="C1" s="13" t="s">
        <v>2</v>
      </c>
      <c r="D1" s="13" t="s">
        <v>3</v>
      </c>
      <c r="E1" s="13" t="s">
        <v>4</v>
      </c>
      <c r="F1" s="4" t="s">
        <v>5</v>
      </c>
      <c r="G1" s="4" t="s">
        <v>6</v>
      </c>
    </row>
    <row r="2">
      <c r="A2" s="5">
        <v>16.0</v>
      </c>
      <c r="B2" s="6" t="s">
        <v>7</v>
      </c>
      <c r="C2" s="6" t="str">
        <f>IFERROR(__xludf.DUMMYFUNCTION("filter('Imported Challenges'!B:D,'Imported Challenges'!A:A=A2)"),"It's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D2" s="6"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2" s="6" t="str">
        <f>IFERROR(__xludf.DUMMYFUNCTION("""COMPUTED_VALUE"""),"The process of making students migrate to other tools it's hard.")</f>
        <v>The process of making students migrate to other tools it's hard.</v>
      </c>
      <c r="F2" s="7" t="s">
        <v>8</v>
      </c>
      <c r="G2" s="14"/>
    </row>
    <row r="3">
      <c r="A3" s="5">
        <v>19.0</v>
      </c>
      <c r="B3" s="6" t="s">
        <v>7</v>
      </c>
      <c r="C3" s="6" t="str">
        <f>IFERROR(__xludf.DUMMYFUNCTION("filter('Imported Challenges'!B:D,'Imported Challenges'!A:A=A3)"),"A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D3" s="6" t="str">
        <f>IFERROR(__xludf.DUMMYFUNCTION("""COMPUTED_VALUE"""),"The student has difficulty realizing the importance of setting the environment.")</f>
        <v>The student has difficulty realizing the importance of setting the environment.</v>
      </c>
      <c r="E3" s="6"/>
      <c r="F3" s="7" t="s">
        <v>8</v>
      </c>
      <c r="G3" s="15"/>
    </row>
    <row r="4">
      <c r="A4" s="5">
        <v>22.0</v>
      </c>
      <c r="B4" s="6" t="s">
        <v>7</v>
      </c>
      <c r="C4" s="6" t="str">
        <f>IFERROR(__xludf.DUMMYFUNCTION("filter('Imported Challenges'!B:D,'Imported Challenges'!A:A=A4)"),"The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D4" s="6"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E4" s="6" t="str">
        <f>IFERROR(__xludf.DUMMYFUNCTION("""COMPUTED_VALUE"""),"There is a large number of DevOps tools.")</f>
        <v>There is a large number of DevOps tools.</v>
      </c>
      <c r="F4" s="7" t="s">
        <v>9</v>
      </c>
      <c r="G4" s="16"/>
    </row>
    <row r="5">
      <c r="A5" s="5">
        <v>26.0</v>
      </c>
      <c r="B5" s="6" t="s">
        <v>7</v>
      </c>
      <c r="C5" s="6" t="str">
        <f>IFERROR(__xludf.DUMMYFUNCTION("filter('Imported Challenges'!B:D,'Imported Challenges'!A:A=A5)"),"The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D5" s="6"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E5" s="6" t="str">
        <f>IFERROR(__xludf.DUMMYFUNCTION("""COMPUTED_VALUE"""),"It's hard to show to students that DevOps is not all about tooling.")</f>
        <v>It's hard to show to students that DevOps is not all about tooling.</v>
      </c>
      <c r="F5" s="7" t="s">
        <v>9</v>
      </c>
      <c r="G5" s="16"/>
    </row>
    <row r="6">
      <c r="A6" s="5">
        <v>27.0</v>
      </c>
      <c r="B6" s="6" t="s">
        <v>7</v>
      </c>
      <c r="C6" s="6" t="str">
        <f>IFERROR(__xludf.DUMMYFUNCTION("filter('Imported Challenges'!B:D,'Imported Challenges'!A:A=A6)"),"As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D6" s="6"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E6" s="6"/>
      <c r="F6" s="7" t="s">
        <v>8</v>
      </c>
      <c r="G6" s="16"/>
    </row>
    <row r="7">
      <c r="A7" s="5">
        <v>29.0</v>
      </c>
      <c r="B7" s="6" t="s">
        <v>7</v>
      </c>
      <c r="C7" s="6" t="str">
        <f>IFERROR(__xludf.DUMMYFUNCTION("filter('Imported Challenges'!B:D,'Imported Challenges'!A:A=A7)"),"The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D7" s="6"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E7" s="6" t="str">
        <f>IFERROR(__xludf.DUMMYFUNCTION("""COMPUTED_VALUE"""),"The multidiscuplinary of DevOps is hard to deal with.")</f>
        <v>The multidiscuplinary of DevOps is hard to deal with.</v>
      </c>
      <c r="F7" s="7" t="s">
        <v>9</v>
      </c>
      <c r="G7" s="16"/>
    </row>
    <row r="8">
      <c r="A8" s="5">
        <v>30.0</v>
      </c>
      <c r="B8" s="6" t="s">
        <v>7</v>
      </c>
      <c r="C8" s="6" t="str">
        <f>IFERROR(__xludf.DUMMYFUNCTION("filter('Imported Challenges'!B:D,'Imported Challenges'!A:A=A8)"),"If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D8" s="6"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E8" s="6" t="str">
        <f>IFERROR(__xludf.DUMMYFUNCTION("""COMPUTED_VALUE"""),"Teach DevOps concepts to students no industrial experience is hard.")</f>
        <v>Teach DevOps concepts to students no industrial experience is hard.</v>
      </c>
      <c r="F8" s="7" t="s">
        <v>9</v>
      </c>
      <c r="G8" s="16"/>
    </row>
    <row r="9">
      <c r="A9" s="5">
        <v>32.0</v>
      </c>
      <c r="B9" s="6" t="s">
        <v>7</v>
      </c>
      <c r="C9" s="6" t="str">
        <f>IFERROR(__xludf.DUMMYFUNCTION("filter('Imported Challenges'!B:D,'Imported Challenges'!A:A=A9)"),"The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D9" s="6"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E9" s="6" t="str">
        <f>IFERROR(__xludf.DUMMYFUNCTION("""COMPUTED_VALUE"""),"It's challeging to deal with students having different backgrounds.")</f>
        <v>It's challeging to deal with students having different backgrounds.</v>
      </c>
      <c r="F9" s="7" t="s">
        <v>8</v>
      </c>
      <c r="G9" s="16"/>
    </row>
    <row r="10">
      <c r="A10" s="5">
        <v>33.0</v>
      </c>
      <c r="B10" s="6" t="s">
        <v>7</v>
      </c>
      <c r="C10" s="6" t="str">
        <f>IFERROR(__xludf.DUMMYFUNCTION("filter('Imported Challenges'!B:D,'Imported Challenges'!A:A=A10)"),"Another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D10" s="6" t="str">
        <f>IFERROR(__xludf.DUMMYFUNCTION("""COMPUTED_VALUE"""),"Students find it difficult to configure the tools on their own machines in remote teaching mode.")</f>
        <v>Students find it difficult to configure the tools on their own machines in remote teaching mode.</v>
      </c>
      <c r="E10" s="6"/>
      <c r="F10" s="7" t="s">
        <v>8</v>
      </c>
      <c r="G10" s="16"/>
    </row>
    <row r="11">
      <c r="A11" s="5">
        <v>35.0</v>
      </c>
      <c r="B11" s="6" t="s">
        <v>7</v>
      </c>
      <c r="C11" s="6" t="str">
        <f>IFERROR(__xludf.DUMMYFUNCTION("filter('Imported Challenges'!B:D,'Imported Challenges'!A:A=A11)"),"The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D11" s="6"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E11" s="6" t="str">
        <f>IFERROR(__xludf.DUMMYFUNCTION("""COMPUTED_VALUE"""),"It's challeging to balance DevOps theory and practice.")</f>
        <v>It's challeging to balance DevOps theory and practice.</v>
      </c>
      <c r="F11" s="7" t="s">
        <v>8</v>
      </c>
      <c r="G11" s="16"/>
    </row>
    <row r="12">
      <c r="A12" s="5">
        <v>36.0</v>
      </c>
      <c r="B12" s="6" t="s">
        <v>7</v>
      </c>
      <c r="C12" s="17" t="str">
        <f>IFERROR(__xludf.DUMMYFUNCTION("filter('Imported Challenges'!B:D,'Imported Challenges'!A:A=A12)"),"For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D12" s="17"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E12" s="17" t="str">
        <f>IFERROR(__xludf.DUMMYFUNCTION("""COMPUTED_VALUE"""),"Comunications with students is hard when classes are remote.")</f>
        <v>Comunications with students is hard when classes are remote.</v>
      </c>
      <c r="F12" s="7" t="s">
        <v>8</v>
      </c>
      <c r="G12" s="16"/>
    </row>
    <row r="13">
      <c r="A13" s="5">
        <v>38.0</v>
      </c>
      <c r="B13" s="6" t="s">
        <v>7</v>
      </c>
      <c r="C13" s="17" t="str">
        <f>IFERROR(__xludf.DUMMYFUNCTION("filter('Imported Challenges'!B:D,'Imported Challenges'!A:A=A13)"),"When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D13" s="6"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E13" s="6"/>
      <c r="F13" s="7" t="s">
        <v>9</v>
      </c>
      <c r="G13" s="16"/>
    </row>
    <row r="14">
      <c r="A14" s="5">
        <v>39.0</v>
      </c>
      <c r="B14" s="6" t="s">
        <v>7</v>
      </c>
      <c r="C14" s="6" t="str">
        <f>IFERROR(__xludf.DUMMYFUNCTION("filter('Imported Challenges'!B:D,'Imported Challenges'!A:A=A14)"),"This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D14" s="6"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E14" s="6" t="str">
        <f>IFERROR(__xludf.DUMMYFUNCTION("""COMPUTED_VALUE"""),"It's challeging to find the right sized examples to teach DevOps.")</f>
        <v>It's challeging to find the right sized examples to teach DevOps.</v>
      </c>
      <c r="F14" s="7" t="s">
        <v>8</v>
      </c>
      <c r="G14" s="16"/>
    </row>
    <row r="15">
      <c r="A15" s="5">
        <v>41.0</v>
      </c>
      <c r="B15" s="6" t="s">
        <v>7</v>
      </c>
      <c r="C15" s="6" t="str">
        <f>IFERROR(__xludf.DUMMYFUNCTION("filter('Imported Challenges'!B:D,'Imported Challenges'!A:A=A15)"),"If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D15" s="6"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E15" s="6" t="str">
        <f>IFERROR(__xludf.DUMMYFUNCTION("""COMPUTED_VALUE"""),"It's challeging to be up-to-date with industrial DevOps tools.")</f>
        <v>It's challeging to be up-to-date with industrial DevOps tools.</v>
      </c>
      <c r="F15" s="7" t="s">
        <v>8</v>
      </c>
      <c r="G15" s="16"/>
    </row>
    <row r="16">
      <c r="A16" s="5">
        <v>42.0</v>
      </c>
      <c r="B16" s="6" t="s">
        <v>7</v>
      </c>
      <c r="C16" s="6" t="str">
        <f>IFERROR(__xludf.DUMMYFUNCTION("filter('Imported Challenges'!B:D,'Imported Challenges'!A:A=A16)"),"[...]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D16" s="6"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E16" s="6" t="str">
        <f>IFERROR(__xludf.DUMMYFUNCTION("""COMPUTED_VALUE"""),"It's difficult to deal with different hardware and software.")</f>
        <v>It's difficult to deal with different hardware and software.</v>
      </c>
      <c r="F16" s="7" t="s">
        <v>8</v>
      </c>
      <c r="G16" s="16"/>
    </row>
    <row r="17">
      <c r="A17" s="5">
        <v>44.0</v>
      </c>
      <c r="B17" s="6" t="s">
        <v>7</v>
      </c>
      <c r="C17" s="6" t="str">
        <f>IFERROR(__xludf.DUMMYFUNCTION("filter('Imported Challenges'!B:D,'Imported Challenges'!A:A=A17)"),"Material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D17" s="6" t="str">
        <f>IFERROR(__xludf.DUMMYFUNCTION("""COMPUTED_VALUE"""),"There is no unified material for teaching DevOps.
There is no complete material to teach DevOps.")</f>
        <v>There is no unified material for teaching DevOps.
There is no complete material to teach DevOps.</v>
      </c>
      <c r="E17" s="6" t="str">
        <f>IFERROR(__xludf.DUMMYFUNCTION("""COMPUTED_VALUE"""),"Unknown unified material for teaching DevOps.")</f>
        <v>Unknown unified material for teaching DevOps.</v>
      </c>
      <c r="F17" s="7" t="s">
        <v>9</v>
      </c>
      <c r="G17" s="16"/>
    </row>
    <row r="18">
      <c r="A18" s="5">
        <v>45.0</v>
      </c>
      <c r="B18" s="6" t="s">
        <v>7</v>
      </c>
      <c r="C18" s="6" t="str">
        <f>IFERROR(__xludf.DUMMYFUNCTION("filter('Imported Challenges'!B:D,'Imported Challenges'!A:A=A18)"),"Because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D18" s="6"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E18" s="6" t="str">
        <f>IFERROR(__xludf.DUMMYFUNCTION("""COMPUTED_VALUE"""),"Difficulty in using multiple materials to create the classes.")</f>
        <v>Difficulty in using multiple materials to create the classes.</v>
      </c>
      <c r="F18" s="7" t="s">
        <v>8</v>
      </c>
      <c r="G18" s="16"/>
    </row>
    <row r="19">
      <c r="A19" s="5">
        <v>47.0</v>
      </c>
      <c r="B19" s="6" t="s">
        <v>7</v>
      </c>
      <c r="C19" s="6" t="str">
        <f>IFERROR(__xludf.DUMMYFUNCTION("filter('Imported Challenges'!B:D,'Imported Challenges'!A:A=A19)"),"There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D19" s="6"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E19" s="6"/>
      <c r="F19" s="7" t="s">
        <v>9</v>
      </c>
      <c r="G19" s="16"/>
    </row>
    <row r="20">
      <c r="A20" s="5">
        <v>48.0</v>
      </c>
      <c r="B20" s="6" t="s">
        <v>7</v>
      </c>
      <c r="C20" s="6" t="str">
        <f>IFERROR(__xludf.DUMMYFUNCTION("filter('Imported Challenges'!B:D,'Imported Challenges'!A:A=A20)"),"There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D20" s="6"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E20" s="6" t="str">
        <f>IFERROR(__xludf.DUMMYFUNCTION("""COMPUTED_VALUE"""),"Difficulty in structuring the learning journey.")</f>
        <v>Difficulty in structuring the learning journey.</v>
      </c>
      <c r="F20" s="7" t="s">
        <v>8</v>
      </c>
      <c r="G20" s="16"/>
    </row>
    <row r="21">
      <c r="A21" s="5">
        <v>50.0</v>
      </c>
      <c r="B21" s="6" t="s">
        <v>7</v>
      </c>
      <c r="C21" s="6" t="str">
        <f>IFERROR(__xludf.DUMMYFUNCTION("filter('Imported Challenges'!B:D,'Imported Challenges'!A:A=A21)"),"the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D21" s="6"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E21" s="6" t="str">
        <f>IFERROR(__xludf.DUMMYFUNCTION("""COMPUTED_VALUE"""),"It is difficult to create a DevOps course without a previous reference ones.")</f>
        <v>It is difficult to create a DevOps course without a previous reference ones.</v>
      </c>
      <c r="F21" s="7" t="s">
        <v>8</v>
      </c>
      <c r="G21" s="16"/>
    </row>
    <row r="22">
      <c r="A22" s="5">
        <v>51.0</v>
      </c>
      <c r="B22" s="6" t="s">
        <v>7</v>
      </c>
      <c r="C22" s="17" t="str">
        <f>IFERROR(__xludf.DUMMYFUNCTION("filter('Imported Challenges'!B:D,'Imported Challenges'!A:A=A22)"),"This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D22" s="17" t="str">
        <f>IFERROR(__xludf.DUMMYFUNCTION("""COMPUTED_VALUE"""),"Rapid and constant changes in DevOps make it difficult to create a teaching plan.")</f>
        <v>Rapid and constant changes in DevOps make it difficult to create a teaching plan.</v>
      </c>
      <c r="E22" s="17"/>
      <c r="F22" s="7" t="s">
        <v>9</v>
      </c>
      <c r="G22" s="16"/>
    </row>
    <row r="23">
      <c r="A23" s="5">
        <v>53.0</v>
      </c>
      <c r="B23" s="6" t="s">
        <v>7</v>
      </c>
      <c r="C23" s="17" t="str">
        <f>IFERROR(__xludf.DUMMYFUNCTION("filter('Imported Challenges'!B:D,'Imported Challenges'!A:A=A23)"),"There are several environments in the cloud, but they all cost money.")</f>
        <v>There are several environments in the cloud, but they all cost money.</v>
      </c>
      <c r="D23" s="17" t="str">
        <f>IFERROR(__xludf.DUMMYFUNCTION("""COMPUTED_VALUE"""),"Environment set up in a cloud service cost money.")</f>
        <v>Environment set up in a cloud service cost money.</v>
      </c>
      <c r="E23" s="17"/>
      <c r="F23" s="7" t="s">
        <v>8</v>
      </c>
      <c r="G23" s="16"/>
    </row>
    <row r="24">
      <c r="A24" s="5">
        <v>55.0</v>
      </c>
      <c r="B24" s="6" t="s">
        <v>7</v>
      </c>
      <c r="C24" s="17" t="str">
        <f>IFERROR(__xludf.DUMMYFUNCTION("filter('Imported Challenges'!B:D,'Imported Challenges'!A:A=A24)"),"You have to find a set of tools that work together.
 For many people, getting them all to work together can be particularly challenging.")</f>
        <v>You have to find a set of tools that work together.
 For many people, getting them all to work together can be particularly challenging.</v>
      </c>
      <c r="D24" s="17"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E24" s="17" t="str">
        <f>IFERROR(__xludf.DUMMYFUNCTION("""COMPUTED_VALUE"""),"Getting all DevOps tools to work together is challenging.")</f>
        <v>Getting all DevOps tools to work together is challenging.</v>
      </c>
      <c r="F24" s="7" t="s">
        <v>9</v>
      </c>
      <c r="G24" s="16"/>
    </row>
    <row r="25">
      <c r="A25" s="5">
        <v>56.0</v>
      </c>
      <c r="B25" s="6" t="s">
        <v>7</v>
      </c>
      <c r="C25" s="17" t="str">
        <f>IFERROR(__xludf.DUMMYFUNCTION("filter('Imported Challenges'!B:D,'Imported Challenges'!A:A=A25)"),"A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D25" s="17"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E25" s="17" t="str">
        <f>IFERROR(__xludf.DUMMYFUNCTION("""COMPUTED_VALUE"""),"It is difficult to teach agile techniques.")</f>
        <v>It is difficult to teach agile techniques.</v>
      </c>
      <c r="F25" s="7" t="s">
        <v>9</v>
      </c>
      <c r="G25" s="16"/>
    </row>
    <row r="26">
      <c r="A26" s="5">
        <v>58.0</v>
      </c>
      <c r="B26" s="6" t="s">
        <v>7</v>
      </c>
      <c r="C26" s="17" t="str">
        <f>IFERROR(__xludf.DUMMYFUNCTION("filter('Imported Challenges'!B:D,'Imported Challenges'!A:A=A26)"),"Doing a hands-on class with that many (45) students is just physically challenging.")</f>
        <v>Doing a hands-on class with that many (45) students is just physically challenging.</v>
      </c>
      <c r="D26" s="17" t="str">
        <f>IFERROR(__xludf.DUMMYFUNCTION("""COMPUTED_VALUE"""),"Doing a hands-on class with that many (45) students is just physically challenging.")</f>
        <v>Doing a hands-on class with that many (45) students is just physically challenging.</v>
      </c>
      <c r="E26" s="17"/>
      <c r="F26" s="7" t="s">
        <v>8</v>
      </c>
      <c r="G26" s="16"/>
    </row>
    <row r="27">
      <c r="A27" s="5">
        <v>59.0</v>
      </c>
      <c r="B27" s="6" t="s">
        <v>7</v>
      </c>
      <c r="C27" s="17" t="str">
        <f>IFERROR(__xludf.DUMMYFUNCTION("filter('Imported Challenges'!B:D,'Imported Challenges'!A:A=A27)"),"You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D27" s="17" t="str">
        <f>IFERROR(__xludf.DUMMYFUNCTION("""COMPUTED_VALUE"""),"Teach operational activities is ignored because it is hard.")</f>
        <v>Teach operational activities is ignored because it is hard.</v>
      </c>
      <c r="E27" s="17"/>
      <c r="F27" s="7" t="s">
        <v>8</v>
      </c>
      <c r="G27" s="16"/>
    </row>
    <row r="28">
      <c r="A28" s="5">
        <v>61.0</v>
      </c>
      <c r="B28" s="6" t="s">
        <v>7</v>
      </c>
      <c r="C28" s="17" t="str">
        <f>IFERROR(__xludf.DUMMYFUNCTION("filter('Imported Challenges'!B:D,'Imported Challenges'!A:A=A28)"),"It is very dangerous to teach too many tools because it's simply conveys that it is a very technology centric approach.")</f>
        <v>It is very dangerous to teach too many tools because it's simply conveys that it is a very technology centric approach.</v>
      </c>
      <c r="D28" s="17"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28" s="17"/>
      <c r="F28" s="7" t="s">
        <v>9</v>
      </c>
      <c r="G28" s="16"/>
    </row>
    <row r="29">
      <c r="A29" s="5">
        <v>62.0</v>
      </c>
      <c r="B29" s="6" t="s">
        <v>7</v>
      </c>
      <c r="C29" s="17" t="str">
        <f>IFERROR(__xludf.DUMMYFUNCTION("filter('Imported Challenges'!B:D,'Imported Challenges'!A:A=A29)"),"A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D29" s="17" t="str">
        <f>IFERROR(__xludf.DUMMYFUNCTION("""COMPUTED_VALUE"""),"Students are not at a level in the their companies where they can introduce DevOps mindset.")</f>
        <v>Students are not at a level in the their companies where they can introduce DevOps mindset.</v>
      </c>
      <c r="E29" s="17"/>
      <c r="F29" s="7" t="s">
        <v>9</v>
      </c>
      <c r="G29" s="16"/>
    </row>
    <row r="30">
      <c r="A30" s="5">
        <v>64.0</v>
      </c>
      <c r="B30" s="6" t="s">
        <v>7</v>
      </c>
      <c r="C30" s="17" t="str">
        <f>IFERROR(__xludf.DUMMYFUNCTION("filter('Imported Challenges'!B:D,'Imported Challenges'!A:A=A30)"),"I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D30" s="17" t="str">
        <f>IFERROR(__xludf.DUMMYFUNCTION("""COMPUTED_VALUE"""),"Task done by students do not means that students learned correctly.")</f>
        <v>Task done by students do not means that students learned correctly.</v>
      </c>
      <c r="E30" s="17"/>
      <c r="F30" s="7" t="s">
        <v>8</v>
      </c>
      <c r="G30" s="16"/>
    </row>
    <row r="31">
      <c r="A31" s="5">
        <v>65.0</v>
      </c>
      <c r="B31" s="6" t="s">
        <v>7</v>
      </c>
      <c r="C31" s="17" t="str">
        <f>IFERROR(__xludf.DUMMYFUNCTION("filter('Imported Challenges'!B:D,'Imported Challenges'!A:A=A31)"),"The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D31" s="17"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E31" s="17"/>
      <c r="F31" s="7" t="s">
        <v>8</v>
      </c>
      <c r="G31" s="16"/>
    </row>
    <row r="32">
      <c r="A32" s="5">
        <v>67.0</v>
      </c>
      <c r="B32" s="6" t="s">
        <v>7</v>
      </c>
      <c r="C32" s="17" t="str">
        <f>IFERROR(__xludf.DUMMYFUNCTION("filter('Imported Challenges'!B:D,'Imported Challenges'!A:A=A32)"),"When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D32" s="17"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E32" s="17"/>
      <c r="F32" s="7" t="s">
        <v>9</v>
      </c>
      <c r="G32" s="16"/>
    </row>
    <row r="33">
      <c r="A33" s="5">
        <v>68.0</v>
      </c>
      <c r="B33" s="6" t="s">
        <v>7</v>
      </c>
      <c r="C33" s="17" t="str">
        <f>IFERROR(__xludf.DUMMYFUNCTION("filter('Imported Challenges'!B:D,'Imported Challenges'!A:A=A33)"),"Uh,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D33" s="17" t="str">
        <f>IFERROR(__xludf.DUMMYFUNCTION("""COMPUTED_VALUE"""),"It's hard to supervise students' work when you use a lot of virtual machines.")</f>
        <v>It's hard to supervise students' work when you use a lot of virtual machines.</v>
      </c>
      <c r="E33" s="17"/>
      <c r="F33" s="7" t="s">
        <v>8</v>
      </c>
      <c r="G33" s="16"/>
    </row>
    <row r="34">
      <c r="A34" s="5">
        <v>70.0</v>
      </c>
      <c r="B34" s="6" t="s">
        <v>7</v>
      </c>
      <c r="C34" s="17" t="str">
        <f>IFERROR(__xludf.DUMMYFUNCTION("filter('Imported Challenges'!B:D,'Imported Challenges'!A:A=A34)"),"What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D34" s="17" t="str">
        <f>IFERROR(__xludf.DUMMYFUNCTION("""COMPUTED_VALUE"""),"It is hard to prepare a robust and simple technology stack.")</f>
        <v>It is hard to prepare a robust and simple technology stack.</v>
      </c>
      <c r="E34" s="17"/>
      <c r="F34" s="7" t="s">
        <v>8</v>
      </c>
      <c r="G34" s="16"/>
    </row>
    <row r="35">
      <c r="A35" s="5">
        <v>71.0</v>
      </c>
      <c r="B35" s="6" t="s">
        <v>7</v>
      </c>
      <c r="C35" s="17" t="str">
        <f>IFERROR(__xludf.DUMMYFUNCTION("filter('Imported Challenges'!B:D,'Imported Challenges'!A:A=A35)"),"It's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D35" s="17"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E35" s="17" t="str">
        <f>IFERROR(__xludf.DUMMYFUNCTION("""COMPUTED_VALUE"""),"The preparation of the exercise is demanding.")</f>
        <v>The preparation of the exercise is demanding.</v>
      </c>
      <c r="F35" s="7" t="s">
        <v>8</v>
      </c>
      <c r="G35" s="16"/>
    </row>
    <row r="36">
      <c r="A36" s="5">
        <v>73.0</v>
      </c>
      <c r="B36" s="6" t="s">
        <v>7</v>
      </c>
      <c r="C36" s="17" t="str">
        <f>IFERROR(__xludf.DUMMYFUNCTION("filter('Imported Challenges'!B:D,'Imported Challenges'!A:A=A36)"),"I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D36" s="17" t="str">
        <f>IFERROR(__xludf.DUMMYFUNCTION("""COMPUTED_VALUE"""),"It is arduous to analyse the code and run scripts for each project.")</f>
        <v>It is arduous to analyse the code and run scripts for each project.</v>
      </c>
      <c r="E36" s="17"/>
      <c r="F36" s="7" t="s">
        <v>8</v>
      </c>
      <c r="G36" s="16"/>
    </row>
    <row r="37">
      <c r="A37" s="5">
        <v>74.0</v>
      </c>
      <c r="B37" s="6" t="s">
        <v>7</v>
      </c>
      <c r="C37" s="17" t="str">
        <f>IFERROR(__xludf.DUMMYFUNCTION("filter('Imported Challenges'!B:D,'Imported Challenges'!A:A=A37)"),"We show them Kubernetes, um, but they don't really have time to practice on Kubernetes.")</f>
        <v>We show them Kubernetes, um, but they don't really have time to practice on Kubernetes.</v>
      </c>
      <c r="D37" s="17" t="str">
        <f>IFERROR(__xludf.DUMMYFUNCTION("""COMPUTED_VALUE"""),"They don't have time to practice on Kubernetes because it is lot of work.")</f>
        <v>They don't have time to practice on Kubernetes because it is lot of work.</v>
      </c>
      <c r="E37" s="17"/>
      <c r="F37" s="7" t="s">
        <v>9</v>
      </c>
      <c r="G37" s="16"/>
    </row>
    <row r="38">
      <c r="A38" s="5">
        <v>76.0</v>
      </c>
      <c r="B38" s="6" t="s">
        <v>7</v>
      </c>
      <c r="C38" s="17" t="str">
        <f>IFERROR(__xludf.DUMMYFUNCTION("filter('Imported Challenges'!B:D,'Imported Challenges'!A:A=A38)"),"For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D38" s="17" t="str">
        <f>IFERROR(__xludf.DUMMYFUNCTION("""COMPUTED_VALUE"""),"Make a DevOps course attractive to the students is challenging.
Make the lectures attractive is difficult.")</f>
        <v>Make a DevOps course attractive to the students is challenging.
Make the lectures attractive is difficult.</v>
      </c>
      <c r="E38" s="17" t="str">
        <f>IFERROR(__xludf.DUMMYFUNCTION("""COMPUTED_VALUE"""),"Make a DevOps course attractive to the students is challenging.")</f>
        <v>Make a DevOps course attractive to the students is challenging.</v>
      </c>
      <c r="F38" s="7" t="s">
        <v>9</v>
      </c>
      <c r="G38" s="16"/>
    </row>
    <row r="39">
      <c r="A39" s="5">
        <v>77.0</v>
      </c>
      <c r="B39" s="6" t="s">
        <v>7</v>
      </c>
      <c r="C39" s="17" t="str">
        <f>IFERROR(__xludf.DUMMYFUNCTION("filter('Imported Challenges'!B:D,'Imported Challenges'!A:A=A39)"),"The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D39" s="17"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E39" s="17" t="str">
        <f>IFERROR(__xludf.DUMMYFUNCTION("""COMPUTED_VALUE"""),"There is no convention as to what are the main DevOps concepts that should be taught.")</f>
        <v>There is no convention as to what are the main DevOps concepts that should be taught.</v>
      </c>
      <c r="F39" s="7" t="s">
        <v>9</v>
      </c>
      <c r="G39" s="16"/>
    </row>
    <row r="40">
      <c r="A40" s="5">
        <v>79.0</v>
      </c>
      <c r="B40" s="6" t="s">
        <v>7</v>
      </c>
      <c r="C40" s="17" t="str">
        <f>IFERROR(__xludf.DUMMYFUNCTION("filter('Imported Challenges'!B:D,'Imported Challenges'!A:A=A40)"),"JIRA is quite difficult to use in industry context, um, just because of the license model then. So it's, it's too complex.")</f>
        <v>JIRA is quite difficult to use in industry context, um, just because of the license model then. So it's, it's too complex.</v>
      </c>
      <c r="D40" s="17" t="str">
        <f>IFERROR(__xludf.DUMMYFUNCTION("""COMPUTED_VALUE"""),"It's difficult to use Jira lifecycle management tool because of its licence model.")</f>
        <v>It's difficult to use Jira lifecycle management tool because of its licence model.</v>
      </c>
      <c r="E40" s="17"/>
      <c r="F40" s="7" t="s">
        <v>9</v>
      </c>
      <c r="G40" s="16"/>
    </row>
    <row r="41">
      <c r="A41" s="5">
        <v>80.0</v>
      </c>
      <c r="B41" s="6" t="s">
        <v>7</v>
      </c>
      <c r="C41" s="17" t="str">
        <f>IFERROR(__xludf.DUMMYFUNCTION("filter('Imported Challenges'!B:D,'Imported Challenges'!A:A=A41)"),"So one of the challenge from an environment point of view is to get something that students can relate to.")</f>
        <v>So one of the challenge from an environment point of view is to get something that students can relate to.</v>
      </c>
      <c r="D41" s="17" t="str">
        <f>IFERROR(__xludf.DUMMYFUNCTION("""COMPUTED_VALUE"""),"It's hard to find something students can relate to, from a environment point of view.")</f>
        <v>It's hard to find something students can relate to, from a environment point of view.</v>
      </c>
      <c r="E41" s="17"/>
      <c r="F41" s="7" t="s">
        <v>8</v>
      </c>
      <c r="G41" s="16"/>
    </row>
    <row r="42">
      <c r="A42" s="5">
        <v>82.0</v>
      </c>
      <c r="B42" s="6" t="s">
        <v>7</v>
      </c>
      <c r="C42" s="17" t="str">
        <f>IFERROR(__xludf.DUMMYFUNCTION("filter('Imported Challenges'!B:D,'Imported Challenges'!A:A=A42)"),"It didn't work for some specific tools that they wanted to present using this a katacoda, uh, website.")</f>
        <v>It didn't work for some specific tools that they wanted to present using this a katacoda, uh, website.</v>
      </c>
      <c r="D42" s="17" t="str">
        <f>IFERROR(__xludf.DUMMYFUNCTION("""COMPUTED_VALUE"""),"Katacoda does not work for some specific tools.")</f>
        <v>Katacoda does not work for some specific tools.</v>
      </c>
      <c r="E42" s="17"/>
      <c r="F42" s="7" t="s">
        <v>9</v>
      </c>
      <c r="G42" s="16"/>
    </row>
    <row r="43">
      <c r="A43" s="5">
        <v>83.0</v>
      </c>
      <c r="B43" s="6" t="s">
        <v>7</v>
      </c>
      <c r="C43" s="17" t="str">
        <f>IFERROR(__xludf.DUMMYFUNCTION("filter('Imported Challenges'!B:D,'Imported Challenges'!A:A=A43)"),"Since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D43" s="17"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E43" s="17"/>
      <c r="F43" s="7" t="s">
        <v>8</v>
      </c>
      <c r="G43" s="16"/>
    </row>
    <row r="44">
      <c r="A44" s="5">
        <v>85.0</v>
      </c>
      <c r="B44" s="6" t="s">
        <v>7</v>
      </c>
      <c r="C44" s="17" t="str">
        <f>IFERROR(__xludf.DUMMYFUNCTION("filter('Imported Challenges'!B:D,'Imported Challenges'!A:A=A44)"),"How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D44" s="17" t="str">
        <f>IFERROR(__xludf.DUMMYFUNCTION("""COMPUTED_VALUE"""),"It is difficult to students understand how the pipeline deployment works and not just running it.")</f>
        <v>It is difficult to students understand how the pipeline deployment works and not just running it.</v>
      </c>
      <c r="E44" s="17"/>
      <c r="F44" s="7" t="s">
        <v>9</v>
      </c>
      <c r="G44" s="16"/>
    </row>
    <row r="45">
      <c r="A45" s="5">
        <v>86.0</v>
      </c>
      <c r="B45" s="6" t="s">
        <v>7</v>
      </c>
      <c r="C45" s="17" t="str">
        <f>IFERROR(__xludf.DUMMYFUNCTION("filter('Imported Challenges'!B:D,'Imported Challenges'!A:A=A45)"),"We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D45" s="17"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E45" s="17" t="str">
        <f>IFERROR(__xludf.DUMMYFUNCTION("""COMPUTED_VALUE"""),"Debugging lab sessions are very difficult.")</f>
        <v>Debugging lab sessions are very difficult.</v>
      </c>
      <c r="F45" s="7" t="s">
        <v>8</v>
      </c>
      <c r="G45" s="16"/>
    </row>
    <row r="46">
      <c r="A46" s="5">
        <v>88.0</v>
      </c>
      <c r="B46" s="6" t="s">
        <v>7</v>
      </c>
      <c r="C46" s="17" t="str">
        <f>IFERROR(__xludf.DUMMYFUNCTION("filter('Imported Challenges'!B:D,'Imported Challenges'!A:A=A46)"),"He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D46" s="17" t="str">
        <f>IFERROR(__xludf.DUMMYFUNCTION("""COMPUTED_VALUE"""),"It is really difficult to quantitative grade scale on the description and the justification of case studies.")</f>
        <v>It is really difficult to quantitative grade scale on the description and the justification of case studies.</v>
      </c>
      <c r="E46" s="17"/>
      <c r="F46" s="7" t="s">
        <v>8</v>
      </c>
      <c r="G46" s="16"/>
    </row>
  </sheetData>
  <dataValidations>
    <dataValidation type="list" allowBlank="1" sqref="F2:F46">
      <formula1>"yes,no"</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4.14"/>
    <col customWidth="1" min="2" max="2" width="24.57"/>
    <col customWidth="1" min="3" max="3" width="108.0"/>
    <col customWidth="1" min="4" max="5" width="52.0"/>
    <col customWidth="1" min="6" max="6" width="14.43"/>
    <col customWidth="1" min="7" max="7" width="44.71"/>
  </cols>
  <sheetData>
    <row r="1">
      <c r="A1" s="1" t="s">
        <v>0</v>
      </c>
      <c r="B1" s="1" t="s">
        <v>1</v>
      </c>
      <c r="C1" s="13" t="s">
        <v>2</v>
      </c>
      <c r="D1" s="13" t="s">
        <v>3</v>
      </c>
      <c r="E1" s="13" t="s">
        <v>4</v>
      </c>
      <c r="F1" s="4" t="s">
        <v>5</v>
      </c>
      <c r="G1" s="4" t="s">
        <v>6</v>
      </c>
    </row>
    <row r="2">
      <c r="A2" s="5">
        <v>1.0</v>
      </c>
      <c r="B2" s="6" t="s">
        <v>7</v>
      </c>
      <c r="C2" s="6"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D2" s="6"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E2" s="6" t="str">
        <f>IFERROR(__xludf.DUMMYFUNCTION("""COMPUTED_VALUE"""),"Insufficient knowledge level of students to start the course.")</f>
        <v>Insufficient knowledge level of students to start the course.</v>
      </c>
      <c r="F2" s="7" t="s">
        <v>8</v>
      </c>
      <c r="G2" s="15"/>
    </row>
    <row r="3" ht="69.75" customHeight="1">
      <c r="A3" s="6">
        <v>2.0</v>
      </c>
      <c r="B3" s="6" t="s">
        <v>7</v>
      </c>
      <c r="C3" s="6"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D3" s="6"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E3" s="6" t="str">
        <f>IFERROR(__xludf.DUMMYFUNCTION("""COMPUTED_VALUE"""),"Setting up the infrastructure is difficulty.")</f>
        <v>Setting up the infrastructure is difficulty.</v>
      </c>
      <c r="F3" s="7" t="s">
        <v>9</v>
      </c>
      <c r="G3" s="15"/>
    </row>
    <row r="4" ht="115.5" customHeight="1">
      <c r="A4" s="6">
        <v>3.0</v>
      </c>
      <c r="B4" s="6" t="s">
        <v>7</v>
      </c>
      <c r="C4" s="6"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D4" s="6"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E4" s="6" t="str">
        <f>IFERROR(__xludf.DUMMYFUNCTION("""COMPUTED_VALUE"""),"Limited computional resources.")</f>
        <v>Limited computional resources.</v>
      </c>
      <c r="F4" s="7" t="s">
        <v>8</v>
      </c>
      <c r="G4" s="15"/>
    </row>
    <row r="5" ht="115.5" customHeight="1">
      <c r="A5" s="5">
        <v>4.0</v>
      </c>
      <c r="B5" s="6" t="s">
        <v>7</v>
      </c>
      <c r="C5" s="6"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D5" s="6"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E5" s="6" t="str">
        <f>IFERROR(__xludf.DUMMYFUNCTION("""COMPUTED_VALUE"""),"Cloud providers usage has limits.")</f>
        <v>Cloud providers usage has limits.</v>
      </c>
      <c r="F5" s="7" t="s">
        <v>8</v>
      </c>
      <c r="G5" s="15"/>
    </row>
    <row r="6">
      <c r="A6" s="6">
        <v>6.0</v>
      </c>
      <c r="B6" s="6" t="s">
        <v>7</v>
      </c>
      <c r="C6" s="6"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D6" s="6"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E6" s="6" t="str">
        <f>IFERROR(__xludf.DUMMYFUNCTION("""COMPUTED_VALUE"""),"There is no convention about DevOps concepts.")</f>
        <v>There is no convention about DevOps concepts.</v>
      </c>
      <c r="F6" s="7" t="s">
        <v>9</v>
      </c>
      <c r="G6" s="18"/>
    </row>
    <row r="7" ht="221.25" customHeight="1">
      <c r="A7" s="5">
        <v>7.0</v>
      </c>
      <c r="B7" s="6" t="s">
        <v>7</v>
      </c>
      <c r="C7" s="6" t="str">
        <f>IFERROR(__xludf.DUMMYFUNCTION("filter('Imported Challenges'!B:D,'Imported Challenges'!A:A=A7)"),"I don't know any specific teaching devops tool.")</f>
        <v>I don't know any specific teaching devops tool.</v>
      </c>
      <c r="D7" s="6" t="str">
        <f>IFERROR(__xludf.DUMMYFUNCTION("""COMPUTED_VALUE"""),"Unknown specific devops educational supportive environment.")</f>
        <v>Unknown specific devops educational supportive environment.</v>
      </c>
      <c r="E7" s="6"/>
      <c r="F7" s="7" t="s">
        <v>9</v>
      </c>
      <c r="G7" s="15"/>
    </row>
    <row r="8">
      <c r="A8" s="6">
        <v>8.0</v>
      </c>
      <c r="B8" s="6" t="s">
        <v>7</v>
      </c>
      <c r="C8" s="6"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D8" s="6"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8" s="6" t="str">
        <f>IFERROR(__xludf.DUMMYFUNCTION("""COMPUTED_VALUE"""),"Insufficient time in the course to teach DevOps.")</f>
        <v>Insufficient time in the course to teach DevOps.</v>
      </c>
      <c r="F8" s="7" t="s">
        <v>9</v>
      </c>
      <c r="G8" s="14"/>
    </row>
    <row r="9">
      <c r="A9" s="6">
        <v>9.0</v>
      </c>
      <c r="B9" s="6" t="s">
        <v>7</v>
      </c>
      <c r="C9" s="6"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D9" s="6"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E9" s="6" t="str">
        <f>IFERROR(__xludf.DUMMYFUNCTION("""COMPUTED_VALUE"""),"Institutions' resources have limits.")</f>
        <v>Institutions' resources have limits.</v>
      </c>
      <c r="F9" s="7" t="s">
        <v>9</v>
      </c>
      <c r="G9" s="15"/>
    </row>
    <row r="10" ht="134.25" customHeight="1">
      <c r="A10" s="5">
        <v>10.0</v>
      </c>
      <c r="B10" s="6" t="s">
        <v>7</v>
      </c>
      <c r="C10" s="6"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D10" s="6" t="str">
        <f>IFERROR(__xludf.DUMMYFUNCTION("""COMPUTED_VALUE"""),"There was no automated environment setup tool to support the student.")</f>
        <v>There was no automated environment setup tool to support the student.</v>
      </c>
      <c r="E10" s="6"/>
      <c r="F10" s="7" t="s">
        <v>9</v>
      </c>
      <c r="G10" s="15"/>
    </row>
    <row r="11">
      <c r="A11" s="6">
        <v>11.0</v>
      </c>
      <c r="B11" s="6" t="s">
        <v>7</v>
      </c>
      <c r="C11" s="6"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D11" s="6" t="str">
        <f>IFERROR(__xludf.DUMMYFUNCTION("""COMPUTED_VALUE"""),"There was no script for the student on how to install the tools used during the course.")</f>
        <v>There was no script for the student on how to install the tools used during the course.</v>
      </c>
      <c r="E11" s="6"/>
      <c r="F11" s="4" t="s">
        <v>9</v>
      </c>
      <c r="G11" s="15"/>
    </row>
    <row r="12">
      <c r="A12" s="6">
        <v>12.0</v>
      </c>
      <c r="B12" s="6" t="s">
        <v>7</v>
      </c>
      <c r="C12" s="6"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D12" s="6"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E12" s="6" t="str">
        <f>IFERROR(__xludf.DUMMYFUNCTION("""COMPUTED_VALUE"""),"Insufficient literature related to teach DevOps.")</f>
        <v>Insufficient literature related to teach DevOps.</v>
      </c>
      <c r="F12" s="7" t="s">
        <v>9</v>
      </c>
      <c r="G12" s="15"/>
    </row>
    <row r="13">
      <c r="A13" s="5">
        <v>13.0</v>
      </c>
      <c r="B13" s="6" t="s">
        <v>7</v>
      </c>
      <c r="C13" s="6"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D13" s="6"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E13" s="6" t="str">
        <f>IFERROR(__xludf.DUMMYFUNCTION("""COMPUTED_VALUE"""),"Difficulty in making clear to students the importance of having a more realistic perspective of production.")</f>
        <v>Difficulty in making clear to students the importance of having a more realistic perspective of production.</v>
      </c>
      <c r="F13" s="7" t="s">
        <v>9</v>
      </c>
      <c r="G13" s="15"/>
    </row>
    <row r="14">
      <c r="A14" s="5">
        <v>14.0</v>
      </c>
      <c r="B14" s="6" t="s">
        <v>7</v>
      </c>
      <c r="C14" s="6"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D14" s="6"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E14" s="6"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F14" s="7" t="s">
        <v>9</v>
      </c>
      <c r="G14" s="15"/>
    </row>
    <row r="15">
      <c r="A15" s="5">
        <v>15.0</v>
      </c>
      <c r="B15" s="6" t="s">
        <v>7</v>
      </c>
      <c r="C15" s="6"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D15" s="6" t="str">
        <f>IFERROR(__xludf.DUMMYFUNCTION("""COMPUTED_VALUE"""),"Difficulty in assessing students' understanding of Continuous Delivery.")</f>
        <v>Difficulty in assessing students' understanding of Continuous Delivery.</v>
      </c>
      <c r="E15" s="6"/>
      <c r="F15" s="7" t="s">
        <v>9</v>
      </c>
      <c r="G15" s="15"/>
    </row>
    <row r="16">
      <c r="A16" s="5">
        <v>17.0</v>
      </c>
      <c r="B16" s="6" t="s">
        <v>7</v>
      </c>
      <c r="C16" s="6" t="str">
        <f>IFERROR(__xludf.DUMMYFUNCTION("filter('Imported Challenges'!B:D,'Imported Challenges'!A:A=A16)"),"the docker, [...] to use, they usually have a greater difficulty in this theme, in the beginning.")</f>
        <v>the docker, [...] to use, they usually have a greater difficulty in this theme, in the beginning.</v>
      </c>
      <c r="D16" s="6" t="str">
        <f>IFERROR(__xludf.DUMMYFUNCTION("""COMPUTED_VALUE"""),"Initial difficulty using the Docker container tool.")</f>
        <v>Initial difficulty using the Docker container tool.</v>
      </c>
      <c r="E16" s="6"/>
      <c r="F16" s="7" t="s">
        <v>9</v>
      </c>
      <c r="G16" s="15"/>
    </row>
    <row r="17">
      <c r="A17" s="19">
        <v>25.0</v>
      </c>
      <c r="B17" s="6" t="s">
        <v>7</v>
      </c>
      <c r="C17" s="6" t="str">
        <f>IFERROR(__xludf.DUMMYFUNCTION("filter('Imported Challenges'!B:D,'Imported Challenges'!A:A=A17)"),"The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D17" s="6"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E17" s="6" t="str">
        <f>IFERROR(__xludf.DUMMYFUNCTION("""COMPUTED_VALUE"""),"DevOps culture is hard to teach. ")</f>
        <v>DevOps culture is hard to teach. </v>
      </c>
      <c r="F17" s="7" t="s">
        <v>9</v>
      </c>
      <c r="G17" s="15"/>
    </row>
    <row r="18">
      <c r="A18" s="19">
        <v>26.0</v>
      </c>
      <c r="B18" s="6" t="s">
        <v>7</v>
      </c>
      <c r="C18" s="6" t="str">
        <f>IFERROR(__xludf.DUMMYFUNCTION("filter('Imported Challenges'!B:D,'Imported Challenges'!A:A=A18)"),"The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D18" s="6"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E18" s="6" t="str">
        <f>IFERROR(__xludf.DUMMYFUNCTION("""COMPUTED_VALUE"""),"It's hard to show to students that DevOps is not all about tooling.")</f>
        <v>It's hard to show to students that DevOps is not all about tooling.</v>
      </c>
      <c r="F18" s="7" t="s">
        <v>9</v>
      </c>
      <c r="G18" s="15"/>
    </row>
    <row r="19">
      <c r="A19" s="19">
        <v>28.0</v>
      </c>
      <c r="B19" s="6" t="s">
        <v>7</v>
      </c>
      <c r="C19" s="6" t="str">
        <f>IFERROR(__xludf.DUMMYFUNCTION("filter('Imported Challenges'!B:D,'Imported Challenges'!A:A=A19)"),"[...]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19" s="6" t="str">
        <f>IFERROR(__xludf.DUMMYFUNCTION("""COMPUTED_VALUE"""),"Difficulty dealing with assessments based on a traditional test model.")</f>
        <v>Difficulty dealing with assessments based on a traditional test model.</v>
      </c>
      <c r="E19" s="6"/>
      <c r="F19" s="7" t="s">
        <v>9</v>
      </c>
      <c r="G19" s="15"/>
    </row>
    <row r="20">
      <c r="A20" s="19">
        <v>29.0</v>
      </c>
      <c r="B20" s="6" t="s">
        <v>7</v>
      </c>
      <c r="C20" s="6" t="str">
        <f>IFERROR(__xludf.DUMMYFUNCTION("filter('Imported Challenges'!B:D,'Imported Challenges'!A:A=A20)"),"The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D20" s="6"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E20" s="6" t="str">
        <f>IFERROR(__xludf.DUMMYFUNCTION("""COMPUTED_VALUE"""),"The multidiscuplinary of DevOps is hard to deal with.")</f>
        <v>The multidiscuplinary of DevOps is hard to deal with.</v>
      </c>
      <c r="F20" s="7" t="s">
        <v>9</v>
      </c>
      <c r="G20" s="15"/>
    </row>
    <row r="21">
      <c r="A21" s="19">
        <v>31.0</v>
      </c>
      <c r="B21" s="6" t="s">
        <v>7</v>
      </c>
      <c r="C21" s="6" t="str">
        <f>IFERROR(__xludf.DUMMYFUNCTION("filter('Imported Challenges'!B:D,'Imported Challenges'!A:A=A21)"),"DevSecOps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D21" s="6"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E21" s="6" t="str">
        <f>IFERROR(__xludf.DUMMYFUNCTION("""COMPUTED_VALUE"""),"Skills to teach DevOps are challeging.")</f>
        <v>Skills to teach DevOps are challeging.</v>
      </c>
      <c r="F21" s="7" t="s">
        <v>9</v>
      </c>
      <c r="G21" s="15"/>
    </row>
    <row r="22">
      <c r="A22" s="19">
        <v>32.0</v>
      </c>
      <c r="B22" s="6" t="s">
        <v>7</v>
      </c>
      <c r="C22" s="6" t="str">
        <f>IFERROR(__xludf.DUMMYFUNCTION("filter('Imported Challenges'!B:D,'Imported Challenges'!A:A=A22)"),"The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D22" s="6"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E22" s="6" t="str">
        <f>IFERROR(__xludf.DUMMYFUNCTION("""COMPUTED_VALUE"""),"It's challeging to deal with students having different backgrounds.")</f>
        <v>It's challeging to deal with students having different backgrounds.</v>
      </c>
      <c r="F22" s="7" t="s">
        <v>8</v>
      </c>
      <c r="G22" s="15"/>
    </row>
    <row r="23">
      <c r="A23" s="19">
        <v>34.0</v>
      </c>
      <c r="B23" s="6" t="s">
        <v>7</v>
      </c>
      <c r="C23" s="6" t="str">
        <f>IFERROR(__xludf.DUMMYFUNCTION("filter('Imported Challenges'!B:D,'Imported Challenges'!A:A=A23)"),"Doing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D23" s="6"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23" s="6" t="str">
        <f>IFERROR(__xludf.DUMMYFUNCTION("""COMPUTED_VALUE"""),"Small examples weren't really satisfactory.")</f>
        <v>Small examples weren't really satisfactory.</v>
      </c>
      <c r="F23" s="7" t="s">
        <v>8</v>
      </c>
      <c r="G23" s="15"/>
    </row>
    <row r="24">
      <c r="A24" s="19">
        <v>35.0</v>
      </c>
      <c r="B24" s="6" t="s">
        <v>7</v>
      </c>
      <c r="C24" s="6" t="str">
        <f>IFERROR(__xludf.DUMMYFUNCTION("filter('Imported Challenges'!B:D,'Imported Challenges'!A:A=A24)"),"The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D24" s="6"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E24" s="6" t="str">
        <f>IFERROR(__xludf.DUMMYFUNCTION("""COMPUTED_VALUE"""),"It's challeging to balance DevOps theory and practice.")</f>
        <v>It's challeging to balance DevOps theory and practice.</v>
      </c>
      <c r="F24" s="7" t="s">
        <v>9</v>
      </c>
      <c r="G24" s="15"/>
    </row>
    <row r="25">
      <c r="A25" s="19">
        <v>37.0</v>
      </c>
      <c r="B25" s="6" t="s">
        <v>7</v>
      </c>
      <c r="C25" s="17" t="str">
        <f>IFERROR(__xludf.DUMMYFUNCTION("filter('Imported Challenges'!B:D,'Imported Challenges'!A:A=A25)"),"There's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D25" s="6" t="str">
        <f>IFERROR(__xludf.DUMMYFUNCTION("""COMPUTED_VALUE"""),"Difficulty in understanding environment, tools and network configuration.")</f>
        <v>Difficulty in understanding environment, tools and network configuration.</v>
      </c>
      <c r="E25" s="6"/>
      <c r="F25" s="7" t="s">
        <v>9</v>
      </c>
      <c r="G25" s="15"/>
    </row>
    <row r="26">
      <c r="A26" s="19">
        <v>38.0</v>
      </c>
      <c r="B26" s="6" t="s">
        <v>7</v>
      </c>
      <c r="C26" s="17" t="str">
        <f>IFERROR(__xludf.DUMMYFUNCTION("filter('Imported Challenges'!B:D,'Imported Challenges'!A:A=A26)"),"When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D26" s="6"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E26" s="6"/>
      <c r="F26" s="7" t="s">
        <v>9</v>
      </c>
      <c r="G26" s="15"/>
    </row>
    <row r="27">
      <c r="A27" s="19">
        <v>40.0</v>
      </c>
      <c r="B27" s="6" t="s">
        <v>7</v>
      </c>
      <c r="C27" s="6" t="str">
        <f>IFERROR(__xludf.DUMMYFUNCTION("filter('Imported Challenges'!B:D,'Imported Challenges'!A:A=A27)"),"So,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D27" s="6"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E27" s="6" t="str">
        <f>IFERROR(__xludf.DUMMYFUNCTION("""COMPUTED_VALUE"""),"Lack of time to prepare classes to teach DevOps.")</f>
        <v>Lack of time to prepare classes to teach DevOps.</v>
      </c>
      <c r="F27" s="7" t="s">
        <v>8</v>
      </c>
      <c r="G27" s="15"/>
    </row>
    <row r="28">
      <c r="A28" s="19">
        <v>41.0</v>
      </c>
      <c r="B28" s="6" t="s">
        <v>7</v>
      </c>
      <c r="C28" s="6" t="str">
        <f>IFERROR(__xludf.DUMMYFUNCTION("filter('Imported Challenges'!B:D,'Imported Challenges'!A:A=A28)"),"If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D28" s="6"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E28" s="6" t="str">
        <f>IFERROR(__xludf.DUMMYFUNCTION("""COMPUTED_VALUE"""),"It's challeging to be up-to-date with industrial DevOps tools.")</f>
        <v>It's challeging to be up-to-date with industrial DevOps tools.</v>
      </c>
      <c r="F28" s="7" t="s">
        <v>8</v>
      </c>
      <c r="G28" s="15"/>
    </row>
    <row r="29">
      <c r="A29" s="19">
        <v>43.0</v>
      </c>
      <c r="B29" s="6" t="s">
        <v>7</v>
      </c>
      <c r="C29" s="17" t="str">
        <f>IFERROR(__xludf.DUMMYFUNCTION("filter('Imported Challenges'!B:D,'Imported Challenges'!A:A=A29)"),"Then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29" s="17"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29" s="17" t="str">
        <f>IFERROR(__xludf.DUMMYFUNCTION("""COMPUTED_VALUE"""),"Prepare the labs environment requires a lot of time.")</f>
        <v>Prepare the labs environment requires a lot of time.</v>
      </c>
      <c r="F29" s="7" t="s">
        <v>9</v>
      </c>
      <c r="G29" s="15"/>
    </row>
    <row r="30">
      <c r="A30" s="19">
        <v>44.0</v>
      </c>
      <c r="B30" s="6" t="s">
        <v>7</v>
      </c>
      <c r="C30" s="6" t="str">
        <f>IFERROR(__xludf.DUMMYFUNCTION("filter('Imported Challenges'!B:D,'Imported Challenges'!A:A=A30)"),"Material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D30" s="6" t="str">
        <f>IFERROR(__xludf.DUMMYFUNCTION("""COMPUTED_VALUE"""),"There is no unified material for teaching DevOps.
There is no complete material to teach DevOps.")</f>
        <v>There is no unified material for teaching DevOps.
There is no complete material to teach DevOps.</v>
      </c>
      <c r="E30" s="6" t="str">
        <f>IFERROR(__xludf.DUMMYFUNCTION("""COMPUTED_VALUE"""),"Unknown unified material for teaching DevOps.")</f>
        <v>Unknown unified material for teaching DevOps.</v>
      </c>
      <c r="F30" s="7" t="s">
        <v>9</v>
      </c>
      <c r="G30" s="15"/>
    </row>
    <row r="31">
      <c r="A31" s="19">
        <v>46.0</v>
      </c>
      <c r="B31" s="6" t="s">
        <v>7</v>
      </c>
      <c r="C31" s="6" t="str">
        <f>IFERROR(__xludf.DUMMYFUNCTION("filter('Imported Challenges'!B:D,'Imported Challenges'!A:A=A31)"),"And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D31" s="6"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E31" s="6" t="str">
        <f>IFERROR(__xludf.DUMMYFUNCTION("""COMPUTED_VALUE"""),"Students rely on limited material instead of reading books.")</f>
        <v>Students rely on limited material instead of reading books.</v>
      </c>
      <c r="F31" s="7" t="s">
        <v>8</v>
      </c>
      <c r="G31" s="15"/>
    </row>
    <row r="32" ht="134.25" customHeight="1">
      <c r="A32" s="19">
        <v>47.0</v>
      </c>
      <c r="B32" s="6" t="s">
        <v>7</v>
      </c>
      <c r="C32" s="6" t="str">
        <f>IFERROR(__xludf.DUMMYFUNCTION("filter('Imported Challenges'!B:D,'Imported Challenges'!A:A=A32)"),"There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D32" s="6"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E32" s="6"/>
      <c r="F32" s="7" t="s">
        <v>9</v>
      </c>
      <c r="G32" s="15"/>
    </row>
    <row r="33" ht="123.75" customHeight="1">
      <c r="A33" s="19">
        <v>49.0</v>
      </c>
      <c r="B33" s="6" t="s">
        <v>7</v>
      </c>
      <c r="C33" s="6" t="str">
        <f>IFERROR(__xludf.DUMMYFUNCTION("filter('Imported Challenges'!B:D,'Imported Challenges'!A:A=A33)"),"team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D33" s="6" t="str">
        <f>IFERROR(__xludf.DUMMYFUNCTION("""COMPUTED_VALUE"""),"Large class assessment requires great effort.")</f>
        <v>Large class assessment requires great effort.</v>
      </c>
      <c r="E33" s="6"/>
      <c r="F33" s="7" t="s">
        <v>8</v>
      </c>
      <c r="G33" s="15"/>
    </row>
    <row r="34">
      <c r="A34" s="19">
        <v>50.0</v>
      </c>
      <c r="B34" s="6" t="s">
        <v>7</v>
      </c>
      <c r="C34" s="6" t="str">
        <f>IFERROR(__xludf.DUMMYFUNCTION("filter('Imported Challenges'!B:D,'Imported Challenges'!A:A=A34)"),"the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D34" s="6"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E34" s="6" t="str">
        <f>IFERROR(__xludf.DUMMYFUNCTION("""COMPUTED_VALUE"""),"It is difficult to create a DevOps course without a previous reference ones.")</f>
        <v>It is difficult to create a DevOps course without a previous reference ones.</v>
      </c>
      <c r="F34" s="7" t="s">
        <v>8</v>
      </c>
      <c r="G34" s="15"/>
    </row>
    <row r="35">
      <c r="A35" s="19">
        <v>52.0</v>
      </c>
      <c r="B35" s="6" t="s">
        <v>7</v>
      </c>
      <c r="C35" s="17" t="str">
        <f>IFERROR(__xludf.DUMMYFUNCTION("filter('Imported Challenges'!B:D,'Imported Challenges'!A:A=A35)"),"""DevOps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D35" s="17" t="str">
        <f>IFERROR(__xludf.DUMMYFUNCTION("""COMPUTED_VALUE"""),"Difficulty in linking DevOps classes with other subjects of interest to students.")</f>
        <v>Difficulty in linking DevOps classes with other subjects of interest to students.</v>
      </c>
      <c r="E35" s="17"/>
      <c r="F35" s="7" t="s">
        <v>9</v>
      </c>
      <c r="G35" s="15"/>
    </row>
    <row r="36">
      <c r="A36" s="11">
        <v>54.0</v>
      </c>
      <c r="B36" s="6" t="s">
        <v>7</v>
      </c>
      <c r="C36" s="17" t="str">
        <f>IFERROR(__xludf.DUMMYFUNCTION("filter('Imported Challenges'!B:D,'Imported Challenges'!A:A=A36)"),"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D36" s="17" t="str">
        <f>IFERROR(__xludf.DUMMYFUNCTION("""COMPUTED_VALUE"""),"VirtualBox has limitation in MacOS.")</f>
        <v>VirtualBox has limitation in MacOS.</v>
      </c>
      <c r="E36" s="17"/>
      <c r="F36" s="7" t="s">
        <v>8</v>
      </c>
      <c r="G36" s="15"/>
    </row>
    <row r="37">
      <c r="A37" s="11">
        <v>55.0</v>
      </c>
      <c r="B37" s="6" t="s">
        <v>7</v>
      </c>
      <c r="C37" s="17" t="str">
        <f>IFERROR(__xludf.DUMMYFUNCTION("filter('Imported Challenges'!B:D,'Imported Challenges'!A:A=A37)"),"You have to find a set of tools that work together.
 For many people, getting them all to work together can be particularly challenging.")</f>
        <v>You have to find a set of tools that work together.
 For many people, getting them all to work together can be particularly challenging.</v>
      </c>
      <c r="D37" s="17"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E37" s="17" t="str">
        <f>IFERROR(__xludf.DUMMYFUNCTION("""COMPUTED_VALUE"""),"Getting all DevOps tools to work together is challenging.")</f>
        <v>Getting all DevOps tools to work together is challenging.</v>
      </c>
      <c r="F37" s="7" t="s">
        <v>9</v>
      </c>
      <c r="G37" s="15"/>
    </row>
    <row r="38">
      <c r="A38" s="11">
        <v>57.0</v>
      </c>
      <c r="B38" s="6" t="s">
        <v>7</v>
      </c>
      <c r="C38" s="17" t="str">
        <f>IFERROR(__xludf.DUMMYFUNCTION("filter('Imported Challenges'!B:D,'Imported Challenges'!A:A=A38)"),"Are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D38" s="17" t="str">
        <f>IFERROR(__xludf.DUMMYFUNCTION("""COMPUTED_VALUE"""),"It is challeging to verify if the students learn the devops process of working.")</f>
        <v>It is challeging to verify if the students learn the devops process of working.</v>
      </c>
      <c r="E38" s="17"/>
      <c r="F38" s="7" t="s">
        <v>9</v>
      </c>
      <c r="G38" s="15"/>
    </row>
    <row r="39">
      <c r="A39" s="11">
        <v>58.0</v>
      </c>
      <c r="B39" s="6" t="s">
        <v>7</v>
      </c>
      <c r="C39" s="17" t="str">
        <f>IFERROR(__xludf.DUMMYFUNCTION("filter('Imported Challenges'!B:D,'Imported Challenges'!A:A=A39)"),"Doing a hands-on class with that many (45) students is just physically challenging.")</f>
        <v>Doing a hands-on class with that many (45) students is just physically challenging.</v>
      </c>
      <c r="D39" s="17" t="str">
        <f>IFERROR(__xludf.DUMMYFUNCTION("""COMPUTED_VALUE"""),"Doing a hands-on class with that many (45) students is just physically challenging.")</f>
        <v>Doing a hands-on class with that many (45) students is just physically challenging.</v>
      </c>
      <c r="E39" s="17"/>
      <c r="F39" s="7" t="s">
        <v>8</v>
      </c>
      <c r="G39" s="15"/>
    </row>
    <row r="40">
      <c r="A40" s="11">
        <v>60.0</v>
      </c>
      <c r="B40" s="6" t="s">
        <v>7</v>
      </c>
      <c r="C40" s="17" t="str">
        <f>IFERROR(__xludf.DUMMYFUNCTION("filter('Imported Challenges'!B:D,'Imported Challenges'!A:A=A40)"),"That is a lot of the devops principles that come into play. ")</f>
        <v>That is a lot of the devops principles that come into play. </v>
      </c>
      <c r="D40" s="17" t="str">
        <f>IFERROR(__xludf.DUMMYFUNCTION("""COMPUTED_VALUE"""),"Many devops concepts need to be taught.")</f>
        <v>Many devops concepts need to be taught.</v>
      </c>
      <c r="E40" s="17"/>
      <c r="F40" s="7" t="s">
        <v>9</v>
      </c>
      <c r="G40" s="16"/>
    </row>
    <row r="41">
      <c r="A41" s="11">
        <v>61.0</v>
      </c>
      <c r="B41" s="6" t="s">
        <v>7</v>
      </c>
      <c r="C41" s="17" t="str">
        <f>IFERROR(__xludf.DUMMYFUNCTION("filter('Imported Challenges'!B:D,'Imported Challenges'!A:A=A41)"),"It is very dangerous to teach too many tools because it's simply conveys that it is a very technology centric approach.")</f>
        <v>It is very dangerous to teach too many tools because it's simply conveys that it is a very technology centric approach.</v>
      </c>
      <c r="D41" s="17"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41" s="17"/>
      <c r="F41" s="7" t="s">
        <v>9</v>
      </c>
      <c r="G41" s="16"/>
    </row>
    <row r="42">
      <c r="A42" s="11">
        <v>63.0</v>
      </c>
      <c r="B42" s="6" t="s">
        <v>7</v>
      </c>
      <c r="C42" s="17" t="str">
        <f>IFERROR(__xludf.DUMMYFUNCTION("filter('Imported Challenges'!B:D,'Imported Challenges'!A:A=A42)"),"It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D42" s="17" t="str">
        <f>IFERROR(__xludf.DUMMYFUNCTION("""COMPUTED_VALUE"""),"It is hard to find strategies from industry unless if it written in a paper.")</f>
        <v>It is hard to find strategies from industry unless if it written in a paper.</v>
      </c>
      <c r="E42" s="17"/>
      <c r="F42" s="7" t="s">
        <v>8</v>
      </c>
      <c r="G42" s="16"/>
    </row>
    <row r="43">
      <c r="A43" s="11">
        <v>64.0</v>
      </c>
      <c r="B43" s="6" t="s">
        <v>7</v>
      </c>
      <c r="C43" s="17" t="str">
        <f>IFERROR(__xludf.DUMMYFUNCTION("filter('Imported Challenges'!B:D,'Imported Challenges'!A:A=A43)"),"I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D43" s="17" t="str">
        <f>IFERROR(__xludf.DUMMYFUNCTION("""COMPUTED_VALUE"""),"Task done by students do not means that students learned correctly.")</f>
        <v>Task done by students do not means that students learned correctly.</v>
      </c>
      <c r="E43" s="17"/>
      <c r="F43" s="7" t="s">
        <v>8</v>
      </c>
      <c r="G43" s="16"/>
    </row>
    <row r="44">
      <c r="A44" s="11">
        <v>66.0</v>
      </c>
      <c r="B44" s="6" t="s">
        <v>7</v>
      </c>
      <c r="C44" s="17" t="str">
        <f>IFERROR(__xludf.DUMMYFUNCTION("filter('Imported Challenges'!B:D,'Imported Challenges'!A:A=A44)"),"Human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D44" s="17"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E44" s="17" t="str">
        <f>IFERROR(__xludf.DUMMYFUNCTION("""COMPUTED_VALUE"""),"DevOps course doesn't look relevant for undergratuate students when you start teaching.")</f>
        <v>DevOps course doesn't look relevant for undergratuate students when you start teaching.</v>
      </c>
      <c r="F44" s="7" t="s">
        <v>9</v>
      </c>
      <c r="G44" s="16"/>
    </row>
    <row r="45">
      <c r="A45" s="11">
        <v>67.0</v>
      </c>
      <c r="B45" s="6" t="s">
        <v>7</v>
      </c>
      <c r="C45" s="17" t="str">
        <f>IFERROR(__xludf.DUMMYFUNCTION("filter('Imported Challenges'!B:D,'Imported Challenges'!A:A=A45)"),"When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D45" s="17"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E45" s="17"/>
      <c r="F45" s="7" t="s">
        <v>9</v>
      </c>
      <c r="G45" s="16"/>
    </row>
    <row r="46">
      <c r="A46" s="11">
        <v>69.0</v>
      </c>
      <c r="B46" s="6" t="s">
        <v>7</v>
      </c>
      <c r="C46" s="17" t="str">
        <f>IFERROR(__xludf.DUMMYFUNCTION("filter('Imported Challenges'!B:D,'Imported Challenges'!A:A=A46)"),"It's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D46" s="17" t="str">
        <f>IFERROR(__xludf.DUMMYFUNCTION("""COMPUTED_VALUE"""),"It's hard for students to see the values of deployment side and they don't want to do operational activities.")</f>
        <v>It's hard for students to see the values of deployment side and they don't want to do operational activities.</v>
      </c>
      <c r="E46" s="17"/>
      <c r="F46" s="7" t="s">
        <v>9</v>
      </c>
      <c r="G46" s="16"/>
    </row>
    <row r="47">
      <c r="A47" s="11">
        <v>70.0</v>
      </c>
      <c r="B47" s="6" t="s">
        <v>7</v>
      </c>
      <c r="C47" s="17" t="str">
        <f>IFERROR(__xludf.DUMMYFUNCTION("filter('Imported Challenges'!B:D,'Imported Challenges'!A:A=A47)"),"What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D47" s="17" t="str">
        <f>IFERROR(__xludf.DUMMYFUNCTION("""COMPUTED_VALUE"""),"It is hard to prepare a robust and simple technology stack.")</f>
        <v>It is hard to prepare a robust and simple technology stack.</v>
      </c>
      <c r="E47" s="17"/>
      <c r="F47" s="7" t="s">
        <v>9</v>
      </c>
      <c r="G47" s="16"/>
    </row>
    <row r="48">
      <c r="A48" s="11">
        <v>72.0</v>
      </c>
      <c r="B48" s="6" t="s">
        <v>7</v>
      </c>
      <c r="C48" s="17" t="str">
        <f>IFERROR(__xludf.DUMMYFUNCTION("filter('Imported Challenges'!B:D,'Imported Challenges'!A:A=A48)"),"Um,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D48" s="17" t="str">
        <f>IFERROR(__xludf.DUMMYFUNCTION("""COMPUTED_VALUE"""),"Teach DevOps requires much knowledge from the professor who could not be familiar with it.")</f>
        <v>Teach DevOps requires much knowledge from the professor who could not be familiar with it.</v>
      </c>
      <c r="E48" s="17"/>
      <c r="F48" s="7" t="s">
        <v>9</v>
      </c>
      <c r="G48" s="16"/>
    </row>
    <row r="49">
      <c r="A49" s="11">
        <v>73.0</v>
      </c>
      <c r="B49" s="6" t="s">
        <v>7</v>
      </c>
      <c r="C49" s="17" t="str">
        <f>IFERROR(__xludf.DUMMYFUNCTION("filter('Imported Challenges'!B:D,'Imported Challenges'!A:A=A49)"),"I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D49" s="17" t="str">
        <f>IFERROR(__xludf.DUMMYFUNCTION("""COMPUTED_VALUE"""),"It is arduous to analyse the code and run scripts for each project.")</f>
        <v>It is arduous to analyse the code and run scripts for each project.</v>
      </c>
      <c r="E49" s="17"/>
      <c r="F49" s="7" t="s">
        <v>8</v>
      </c>
      <c r="G49" s="16"/>
    </row>
    <row r="50">
      <c r="A50" s="11">
        <v>75.0</v>
      </c>
      <c r="B50" s="6" t="s">
        <v>7</v>
      </c>
      <c r="C50" s="17" t="str">
        <f>IFERROR(__xludf.DUMMYFUNCTION("filter('Imported Challenges'!B:D,'Imported Challenges'!A:A=A50)"),"And as I said, we, students are doing other things. So this means we are limited in what we can ask them.")</f>
        <v>And as I said, we, students are doing other things. So this means we are limited in what we can ask them.</v>
      </c>
      <c r="D50" s="17"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E50" s="17"/>
      <c r="F50" s="7" t="s">
        <v>8</v>
      </c>
      <c r="G50" s="16"/>
    </row>
    <row r="51">
      <c r="A51" s="11">
        <v>76.0</v>
      </c>
      <c r="B51" s="6" t="s">
        <v>7</v>
      </c>
      <c r="C51" s="17" t="str">
        <f>IFERROR(__xludf.DUMMYFUNCTION("filter('Imported Challenges'!B:D,'Imported Challenges'!A:A=A51)"),"For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D51" s="17" t="str">
        <f>IFERROR(__xludf.DUMMYFUNCTION("""COMPUTED_VALUE"""),"Make a DevOps course attractive to the students is challenging.
Make the lectures attractive is difficult.")</f>
        <v>Make a DevOps course attractive to the students is challenging.
Make the lectures attractive is difficult.</v>
      </c>
      <c r="E51" s="17" t="str">
        <f>IFERROR(__xludf.DUMMYFUNCTION("""COMPUTED_VALUE"""),"Make a DevOps course attractive to the students is challenging.")</f>
        <v>Make a DevOps course attractive to the students is challenging.</v>
      </c>
      <c r="F51" s="7" t="s">
        <v>9</v>
      </c>
      <c r="G51" s="16"/>
    </row>
    <row r="52">
      <c r="A52" s="11">
        <v>78.0</v>
      </c>
      <c r="B52" s="6" t="s">
        <v>7</v>
      </c>
      <c r="C52" s="17" t="str">
        <f>IFERROR(__xludf.DUMMYFUNCTION("filter('Imported Challenges'!B:D,'Imported Challenges'!A:A=A52)"),"The,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D52" s="17"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E52" s="17"/>
      <c r="F52" s="7" t="s">
        <v>8</v>
      </c>
      <c r="G52" s="16"/>
    </row>
    <row r="53">
      <c r="A53" s="11">
        <v>79.0</v>
      </c>
      <c r="B53" s="6" t="s">
        <v>7</v>
      </c>
      <c r="C53" s="17" t="str">
        <f>IFERROR(__xludf.DUMMYFUNCTION("filter('Imported Challenges'!B:D,'Imported Challenges'!A:A=A53)"),"JIRA is quite difficult to use in industry context, um, just because of the license model then. So it's, it's too complex.")</f>
        <v>JIRA is quite difficult to use in industry context, um, just because of the license model then. So it's, it's too complex.</v>
      </c>
      <c r="D53" s="17" t="str">
        <f>IFERROR(__xludf.DUMMYFUNCTION("""COMPUTED_VALUE"""),"It's difficult to use Jira lifecycle management tool because of its licence model.")</f>
        <v>It's difficult to use Jira lifecycle management tool because of its licence model.</v>
      </c>
      <c r="E53" s="17"/>
      <c r="F53" s="7" t="s">
        <v>8</v>
      </c>
      <c r="G53" s="16"/>
    </row>
    <row r="54">
      <c r="A54" s="11">
        <v>81.0</v>
      </c>
      <c r="B54" s="6" t="s">
        <v>7</v>
      </c>
      <c r="C54" s="17" t="str">
        <f>IFERROR(__xludf.DUMMYFUNCTION("filter('Imported Challenges'!B:D,'Imported Challenges'!A:A=A54)"),"We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D54" s="17" t="str">
        <f>IFERROR(__xludf.DUMMYFUNCTION("""COMPUTED_VALUE"""),"There is a lack between what the industry wants from students about DevOps and what the university teaches.")</f>
        <v>There is a lack between what the industry wants from students about DevOps and what the university teaches.</v>
      </c>
      <c r="E54" s="17"/>
      <c r="F54" s="7" t="s">
        <v>9</v>
      </c>
      <c r="G54" s="16"/>
    </row>
    <row r="55">
      <c r="A55" s="11">
        <v>82.0</v>
      </c>
      <c r="B55" s="6" t="s">
        <v>7</v>
      </c>
      <c r="C55" s="17" t="str">
        <f>IFERROR(__xludf.DUMMYFUNCTION("filter('Imported Challenges'!B:D,'Imported Challenges'!A:A=A55)"),"It didn't work for some specific tools that they wanted to present using this a katacoda, uh, website.")</f>
        <v>It didn't work for some specific tools that they wanted to present using this a katacoda, uh, website.</v>
      </c>
      <c r="D55" s="17" t="str">
        <f>IFERROR(__xludf.DUMMYFUNCTION("""COMPUTED_VALUE"""),"Katacoda does not work for some specific tools.")</f>
        <v>Katacoda does not work for some specific tools.</v>
      </c>
      <c r="E55" s="17"/>
      <c r="F55" s="7" t="s">
        <v>8</v>
      </c>
      <c r="G55" s="16"/>
    </row>
    <row r="56">
      <c r="A56" s="11">
        <v>84.0</v>
      </c>
      <c r="B56" s="6" t="s">
        <v>7</v>
      </c>
      <c r="C56" s="17" t="str">
        <f>IFERROR(__xludf.DUMMYFUNCTION("filter('Imported Challenges'!B:D,'Imported Challenges'!A:A=A56)"),"It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D56" s="17"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E56" s="17"/>
      <c r="F56" s="7" t="s">
        <v>8</v>
      </c>
      <c r="G56" s="16"/>
    </row>
    <row r="57">
      <c r="A57" s="11">
        <v>85.0</v>
      </c>
      <c r="B57" s="6" t="s">
        <v>7</v>
      </c>
      <c r="C57" s="17" t="str">
        <f>IFERROR(__xludf.DUMMYFUNCTION("filter('Imported Challenges'!B:D,'Imported Challenges'!A:A=A57)"),"How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D57" s="17" t="str">
        <f>IFERROR(__xludf.DUMMYFUNCTION("""COMPUTED_VALUE"""),"It is difficult to students understand how the pipeline deployment works and not just running it.")</f>
        <v>It is difficult to students understand how the pipeline deployment works and not just running it.</v>
      </c>
      <c r="E57" s="17"/>
      <c r="F57" s="7" t="s">
        <v>9</v>
      </c>
      <c r="G57" s="16"/>
    </row>
    <row r="58">
      <c r="A58" s="11">
        <v>87.0</v>
      </c>
      <c r="B58" s="6" t="s">
        <v>7</v>
      </c>
      <c r="C58" s="17" t="str">
        <f>IFERROR(__xludf.DUMMYFUNCTION("filter('Imported Challenges'!B:D,'Imported Challenges'!A:A=A58)"),"Your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D58" s="17" t="str">
        <f>IFERROR(__xludf.DUMMYFUNCTION("""COMPUTED_VALUE"""),"Bamboo continuous integration does not work with 120 students running pipeline at the same time.")</f>
        <v>Bamboo continuous integration does not work with 120 students running pipeline at the same time.</v>
      </c>
      <c r="E58" s="17"/>
      <c r="F58" s="7" t="s">
        <v>9</v>
      </c>
      <c r="G58" s="16"/>
    </row>
    <row r="59">
      <c r="A59" s="11">
        <v>88.0</v>
      </c>
      <c r="B59" s="6" t="s">
        <v>7</v>
      </c>
      <c r="C59" s="17" t="str">
        <f>IFERROR(__xludf.DUMMYFUNCTION("filter('Imported Challenges'!B:D,'Imported Challenges'!A:A=A59)"),"He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D59" s="17" t="str">
        <f>IFERROR(__xludf.DUMMYFUNCTION("""COMPUTED_VALUE"""),"It is really difficult to quantitative grade scale on the description and the justification of case studies.")</f>
        <v>It is really difficult to quantitative grade scale on the description and the justification of case studies.</v>
      </c>
      <c r="E59" s="17"/>
      <c r="F59" s="7" t="s">
        <v>8</v>
      </c>
      <c r="G59" s="16"/>
    </row>
    <row r="60">
      <c r="A60" s="11">
        <v>90.0</v>
      </c>
      <c r="B60" s="6" t="s">
        <v>7</v>
      </c>
      <c r="C60" s="17" t="str">
        <f>IFERROR(__xludf.DUMMYFUNCTION("filter('Imported Challenges'!B:D,'Imported Challenges'!A:A=A60)"),"Like,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D60" s="17" t="str">
        <f>IFERROR(__xludf.DUMMYFUNCTION("""COMPUTED_VALUE"""),"There is no consensus if DevOps course should be mandatory or optional.")</f>
        <v>There is no consensus if DevOps course should be mandatory or optional.</v>
      </c>
      <c r="E60" s="17"/>
      <c r="F60" s="7" t="s">
        <v>9</v>
      </c>
      <c r="G60" s="16"/>
    </row>
  </sheetData>
  <dataValidations>
    <dataValidation type="list" allowBlank="1" sqref="F2:F60">
      <formula1>"yes,no"</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4.14"/>
    <col customWidth="1" min="2" max="2" width="12.57"/>
    <col customWidth="1" min="3" max="3" width="23.86"/>
    <col customWidth="1" min="4" max="4" width="115.43"/>
    <col customWidth="1" min="5" max="6" width="52.0"/>
    <col customWidth="1" min="7" max="7" width="16.71"/>
    <col customWidth="1" min="8" max="8" width="18.57"/>
    <col customWidth="1" min="9" max="9" width="16.71"/>
    <col customWidth="1" min="10" max="10" width="29.14"/>
    <col customWidth="1" min="11" max="11" width="15.71"/>
    <col customWidth="1" min="12" max="12" width="18.0"/>
    <col customWidth="1" min="13" max="13" width="15.29"/>
    <col customWidth="1" min="14" max="14" width="44.71"/>
  </cols>
  <sheetData>
    <row r="1">
      <c r="A1" s="1" t="s">
        <v>0</v>
      </c>
      <c r="B1" s="1" t="s">
        <v>15</v>
      </c>
      <c r="C1" s="1" t="s">
        <v>1</v>
      </c>
      <c r="D1" s="13" t="s">
        <v>2</v>
      </c>
      <c r="E1" s="13" t="s">
        <v>3</v>
      </c>
      <c r="F1" s="13" t="s">
        <v>4</v>
      </c>
      <c r="G1" s="4" t="s">
        <v>16</v>
      </c>
      <c r="H1" s="4" t="s">
        <v>17</v>
      </c>
      <c r="I1" s="14" t="s">
        <v>18</v>
      </c>
      <c r="J1" s="14" t="s">
        <v>19</v>
      </c>
      <c r="K1" s="4" t="s">
        <v>20</v>
      </c>
      <c r="L1" s="4" t="s">
        <v>21</v>
      </c>
      <c r="M1" s="4" t="s">
        <v>22</v>
      </c>
      <c r="N1" s="4" t="s">
        <v>23</v>
      </c>
    </row>
    <row r="2">
      <c r="A2" s="5">
        <v>1.0</v>
      </c>
      <c r="B2" s="6" t="s">
        <v>24</v>
      </c>
      <c r="C2" s="6" t="s">
        <v>7</v>
      </c>
      <c r="D2" s="5"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E2" s="5"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F2" s="5" t="str">
        <f>IFERROR(__xludf.DUMMYFUNCTION("""COMPUTED_VALUE"""),"Insufficient knowledge level of students to start the course.")</f>
        <v>Insufficient knowledge level of students to start the course.</v>
      </c>
      <c r="G2" s="7" t="s">
        <v>8</v>
      </c>
      <c r="H2" s="7"/>
      <c r="I2" s="15" t="s">
        <v>8</v>
      </c>
      <c r="J2" s="15"/>
      <c r="K2" s="4"/>
      <c r="L2" s="4"/>
      <c r="M2" s="4"/>
      <c r="N2" s="4"/>
    </row>
    <row r="3" ht="69.75" customHeight="1">
      <c r="A3" s="5">
        <v>2.0</v>
      </c>
      <c r="B3" s="6" t="s">
        <v>24</v>
      </c>
      <c r="C3" s="6" t="s">
        <v>7</v>
      </c>
      <c r="D3" s="5"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E3" s="5"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F3" s="5" t="str">
        <f>IFERROR(__xludf.DUMMYFUNCTION("""COMPUTED_VALUE"""),"Setting up the infrastructure is difficulty.")</f>
        <v>Setting up the infrastructure is difficulty.</v>
      </c>
      <c r="G3" s="7" t="s">
        <v>9</v>
      </c>
      <c r="H3" s="7"/>
      <c r="I3" s="15" t="s">
        <v>9</v>
      </c>
      <c r="J3" s="15"/>
      <c r="K3" s="4"/>
      <c r="L3" s="4"/>
      <c r="M3" s="4"/>
      <c r="N3" s="4"/>
    </row>
    <row r="4" ht="115.5" customHeight="1">
      <c r="A4" s="5">
        <v>3.0</v>
      </c>
      <c r="B4" s="6" t="s">
        <v>24</v>
      </c>
      <c r="C4" s="6" t="s">
        <v>7</v>
      </c>
      <c r="D4" s="5"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E4" s="5"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F4" s="5" t="str">
        <f>IFERROR(__xludf.DUMMYFUNCTION("""COMPUTED_VALUE"""),"Limited computional resources.")</f>
        <v>Limited computional resources.</v>
      </c>
      <c r="G4" s="7" t="s">
        <v>8</v>
      </c>
      <c r="H4" s="7"/>
      <c r="I4" s="15" t="s">
        <v>8</v>
      </c>
      <c r="J4" s="15"/>
      <c r="K4" s="4"/>
      <c r="L4" s="4"/>
      <c r="M4" s="4"/>
      <c r="N4" s="4"/>
    </row>
    <row r="5" ht="115.5" customHeight="1">
      <c r="A5" s="5">
        <v>4.0</v>
      </c>
      <c r="B5" s="6" t="s">
        <v>24</v>
      </c>
      <c r="C5" s="6" t="s">
        <v>7</v>
      </c>
      <c r="D5" s="5"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E5" s="5"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F5" s="5" t="str">
        <f>IFERROR(__xludf.DUMMYFUNCTION("""COMPUTED_VALUE"""),"Cloud providers usage has limits.")</f>
        <v>Cloud providers usage has limits.</v>
      </c>
      <c r="G5" s="7" t="s">
        <v>8</v>
      </c>
      <c r="H5" s="7"/>
      <c r="I5" s="15" t="s">
        <v>8</v>
      </c>
      <c r="J5" s="15"/>
      <c r="K5" s="4"/>
      <c r="L5" s="4"/>
      <c r="M5" s="4"/>
      <c r="N5" s="4"/>
    </row>
    <row r="6" ht="123.75" customHeight="1">
      <c r="A6" s="5">
        <v>6.0</v>
      </c>
      <c r="B6" s="6" t="s">
        <v>24</v>
      </c>
      <c r="C6" s="6" t="s">
        <v>7</v>
      </c>
      <c r="D6" s="5"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E6" s="5"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F6" s="5" t="str">
        <f>IFERROR(__xludf.DUMMYFUNCTION("""COMPUTED_VALUE"""),"There is no convention about DevOps concepts.")</f>
        <v>There is no convention about DevOps concepts.</v>
      </c>
      <c r="G6" s="7" t="s">
        <v>9</v>
      </c>
      <c r="H6" s="7"/>
      <c r="I6" s="15" t="s">
        <v>9</v>
      </c>
      <c r="J6" s="18"/>
      <c r="K6" s="20"/>
      <c r="L6" s="20"/>
      <c r="M6" s="4"/>
      <c r="N6" s="4"/>
    </row>
    <row r="7" ht="221.25" customHeight="1">
      <c r="A7" s="5">
        <v>7.0</v>
      </c>
      <c r="B7" s="6" t="s">
        <v>24</v>
      </c>
      <c r="C7" s="6" t="s">
        <v>7</v>
      </c>
      <c r="D7" s="5" t="str">
        <f>IFERROR(__xludf.DUMMYFUNCTION("filter('Imported Challenges'!B:D,'Imported Challenges'!A:A=A7)"),"I don't know any specific teaching devops tool.")</f>
        <v>I don't know any specific teaching devops tool.</v>
      </c>
      <c r="E7" s="5" t="str">
        <f>IFERROR(__xludf.DUMMYFUNCTION("""COMPUTED_VALUE"""),"Unknown specific devops educational supportive environment.")</f>
        <v>Unknown specific devops educational supportive environment.</v>
      </c>
      <c r="F7" s="5"/>
      <c r="G7" s="7" t="s">
        <v>9</v>
      </c>
      <c r="H7" s="7"/>
      <c r="I7" s="15" t="s">
        <v>9</v>
      </c>
      <c r="J7" s="15"/>
      <c r="K7" s="4"/>
      <c r="L7" s="4"/>
      <c r="M7" s="4"/>
      <c r="N7" s="4"/>
    </row>
    <row r="8">
      <c r="A8" s="5">
        <v>8.0</v>
      </c>
      <c r="B8" s="6" t="s">
        <v>24</v>
      </c>
      <c r="C8" s="6" t="s">
        <v>7</v>
      </c>
      <c r="D8" s="5"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E8" s="5"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F8" s="5" t="str">
        <f>IFERROR(__xludf.DUMMYFUNCTION("""COMPUTED_VALUE"""),"Insufficient time in the course to teach DevOps.")</f>
        <v>Insufficient time in the course to teach DevOps.</v>
      </c>
      <c r="G8" s="7" t="s">
        <v>9</v>
      </c>
      <c r="H8" s="7"/>
      <c r="I8" s="15" t="s">
        <v>9</v>
      </c>
      <c r="J8" s="14"/>
      <c r="K8" s="4"/>
      <c r="L8" s="4"/>
      <c r="M8" s="4"/>
      <c r="N8" s="4"/>
    </row>
    <row r="9">
      <c r="A9" s="5">
        <v>9.0</v>
      </c>
      <c r="B9" s="6" t="s">
        <v>24</v>
      </c>
      <c r="C9" s="6" t="s">
        <v>7</v>
      </c>
      <c r="D9" s="5"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E9" s="5"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F9" s="5" t="str">
        <f>IFERROR(__xludf.DUMMYFUNCTION("""COMPUTED_VALUE"""),"Institutions' resources have limits.")</f>
        <v>Institutions' resources have limits.</v>
      </c>
      <c r="G9" s="7" t="s">
        <v>9</v>
      </c>
      <c r="H9" s="7"/>
      <c r="I9" s="15" t="s">
        <v>9</v>
      </c>
      <c r="J9" s="15"/>
      <c r="K9" s="4"/>
      <c r="L9" s="4"/>
      <c r="M9" s="4"/>
      <c r="N9" s="4"/>
    </row>
    <row r="10" ht="134.25" customHeight="1">
      <c r="A10" s="5">
        <v>10.0</v>
      </c>
      <c r="B10" s="6" t="s">
        <v>24</v>
      </c>
      <c r="C10" s="6" t="s">
        <v>7</v>
      </c>
      <c r="D10" s="5"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E10" s="5" t="str">
        <f>IFERROR(__xludf.DUMMYFUNCTION("""COMPUTED_VALUE"""),"There was no automated environment setup tool to support the student.")</f>
        <v>There was no automated environment setup tool to support the student.</v>
      </c>
      <c r="F10" s="5"/>
      <c r="G10" s="7" t="s">
        <v>9</v>
      </c>
      <c r="H10" s="7"/>
      <c r="I10" s="15" t="s">
        <v>9</v>
      </c>
      <c r="J10" s="15"/>
      <c r="K10" s="4"/>
      <c r="L10" s="4"/>
      <c r="M10" s="4"/>
      <c r="N10" s="4"/>
    </row>
    <row r="11">
      <c r="A11" s="5">
        <v>11.0</v>
      </c>
      <c r="B11" s="6" t="s">
        <v>24</v>
      </c>
      <c r="C11" s="6" t="s">
        <v>7</v>
      </c>
      <c r="D11" s="5"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E11" s="5" t="str">
        <f>IFERROR(__xludf.DUMMYFUNCTION("""COMPUTED_VALUE"""),"There was no script for the student on how to install the tools used during the course.")</f>
        <v>There was no script for the student on how to install the tools used during the course.</v>
      </c>
      <c r="F11" s="5"/>
      <c r="G11" s="4" t="s">
        <v>9</v>
      </c>
      <c r="H11" s="4"/>
      <c r="I11" s="15" t="s">
        <v>9</v>
      </c>
      <c r="J11" s="15"/>
      <c r="K11" s="4" t="s">
        <v>25</v>
      </c>
      <c r="L11" s="4" t="s">
        <v>25</v>
      </c>
      <c r="M11" s="4"/>
      <c r="N11" s="4"/>
    </row>
    <row r="12">
      <c r="A12" s="5">
        <v>12.0</v>
      </c>
      <c r="B12" s="6" t="s">
        <v>24</v>
      </c>
      <c r="C12" s="6" t="s">
        <v>7</v>
      </c>
      <c r="D12" s="5"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E12" s="5"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F12" s="5" t="str">
        <f>IFERROR(__xludf.DUMMYFUNCTION("""COMPUTED_VALUE"""),"Insufficient literature related to teach DevOps.")</f>
        <v>Insufficient literature related to teach DevOps.</v>
      </c>
      <c r="G12" s="7" t="s">
        <v>9</v>
      </c>
      <c r="H12" s="7"/>
      <c r="I12" s="15" t="s">
        <v>9</v>
      </c>
      <c r="J12" s="15"/>
      <c r="K12" s="4"/>
      <c r="L12" s="4"/>
      <c r="M12" s="4"/>
      <c r="N12" s="4"/>
    </row>
    <row r="13">
      <c r="A13" s="5">
        <v>13.0</v>
      </c>
      <c r="B13" s="6" t="s">
        <v>24</v>
      </c>
      <c r="C13" s="6" t="s">
        <v>7</v>
      </c>
      <c r="D13" s="5"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E13" s="5"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F13" s="5" t="str">
        <f>IFERROR(__xludf.DUMMYFUNCTION("""COMPUTED_VALUE"""),"Difficulty in making clear to students the importance of having a more realistic perspective of production.")</f>
        <v>Difficulty in making clear to students the importance of having a more realistic perspective of production.</v>
      </c>
      <c r="G13" s="7" t="s">
        <v>9</v>
      </c>
      <c r="H13" s="7"/>
      <c r="I13" s="15" t="s">
        <v>9</v>
      </c>
      <c r="J13" s="15"/>
      <c r="K13" s="4"/>
      <c r="L13" s="4"/>
      <c r="M13" s="4"/>
      <c r="N13" s="4"/>
    </row>
    <row r="14">
      <c r="A14" s="5">
        <v>14.0</v>
      </c>
      <c r="B14" s="6" t="s">
        <v>24</v>
      </c>
      <c r="C14" s="6" t="s">
        <v>7</v>
      </c>
      <c r="D14" s="5"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E14" s="5"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F14" s="5"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G14" s="7" t="s">
        <v>9</v>
      </c>
      <c r="H14" s="7"/>
      <c r="I14" s="15" t="s">
        <v>9</v>
      </c>
      <c r="J14" s="15"/>
      <c r="K14" s="20"/>
      <c r="L14" s="20"/>
      <c r="M14" s="4"/>
      <c r="N14" s="4"/>
    </row>
    <row r="15">
      <c r="A15" s="5">
        <v>15.0</v>
      </c>
      <c r="B15" s="6" t="s">
        <v>24</v>
      </c>
      <c r="C15" s="6" t="s">
        <v>7</v>
      </c>
      <c r="D15" s="5"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E15" s="5" t="str">
        <f>IFERROR(__xludf.DUMMYFUNCTION("""COMPUTED_VALUE"""),"Difficulty in assessing students' understanding of Continuous Delivery.")</f>
        <v>Difficulty in assessing students' understanding of Continuous Delivery.</v>
      </c>
      <c r="F15" s="5"/>
      <c r="G15" s="7" t="s">
        <v>9</v>
      </c>
      <c r="H15" s="7"/>
      <c r="I15" s="15" t="s">
        <v>9</v>
      </c>
      <c r="J15" s="15"/>
      <c r="K15" s="20"/>
      <c r="L15" s="20"/>
      <c r="M15" s="4"/>
      <c r="N15" s="4"/>
    </row>
    <row r="16">
      <c r="A16" s="5">
        <v>16.0</v>
      </c>
      <c r="B16" s="6" t="s">
        <v>26</v>
      </c>
      <c r="C16" s="6" t="s">
        <v>7</v>
      </c>
      <c r="D16" s="5" t="str">
        <f>IFERROR(__xludf.DUMMYFUNCTION("filter('Imported Challenges'!B:D,'Imported Challenges'!A:A=A16)"),"It's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E16" s="5"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F16" s="5" t="str">
        <f>IFERROR(__xludf.DUMMYFUNCTION("""COMPUTED_VALUE"""),"The process of making students migrate to other tools it's hard.")</f>
        <v>The process of making students migrate to other tools it's hard.</v>
      </c>
      <c r="G16" s="7" t="s">
        <v>9</v>
      </c>
      <c r="H16" s="7"/>
      <c r="I16" s="15" t="s">
        <v>9</v>
      </c>
      <c r="J16" s="15"/>
      <c r="K16" s="4"/>
      <c r="L16" s="4"/>
      <c r="M16" s="4"/>
      <c r="N16" s="4"/>
    </row>
    <row r="17">
      <c r="A17" s="5">
        <v>17.0</v>
      </c>
      <c r="B17" s="6" t="s">
        <v>24</v>
      </c>
      <c r="C17" s="6" t="s">
        <v>7</v>
      </c>
      <c r="D17" s="5" t="str">
        <f>IFERROR(__xludf.DUMMYFUNCTION("filter('Imported Challenges'!B:D,'Imported Challenges'!A:A=A17)"),"the docker, [...] to use, they usually have a greater difficulty in this theme, in the beginning.")</f>
        <v>the docker, [...] to use, they usually have a greater difficulty in this theme, in the beginning.</v>
      </c>
      <c r="E17" s="5" t="str">
        <f>IFERROR(__xludf.DUMMYFUNCTION("""COMPUTED_VALUE"""),"Initial difficulty using the Docker container tool.")</f>
        <v>Initial difficulty using the Docker container tool.</v>
      </c>
      <c r="F17" s="5"/>
      <c r="G17" s="7" t="s">
        <v>9</v>
      </c>
      <c r="H17" s="7"/>
      <c r="I17" s="15" t="s">
        <v>9</v>
      </c>
      <c r="J17" s="15"/>
      <c r="K17" s="4"/>
      <c r="L17" s="4"/>
      <c r="M17" s="4"/>
      <c r="N17" s="4"/>
    </row>
    <row r="18">
      <c r="A18" s="5">
        <v>19.0</v>
      </c>
      <c r="B18" s="6" t="s">
        <v>27</v>
      </c>
      <c r="C18" s="6" t="s">
        <v>7</v>
      </c>
      <c r="D18" s="5" t="str">
        <f>IFERROR(__xludf.DUMMYFUNCTION("filter('Imported Challenges'!B:D,'Imported Challenges'!A:A=A18)"),"A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E18" s="5" t="str">
        <f>IFERROR(__xludf.DUMMYFUNCTION("""COMPUTED_VALUE"""),"The student has difficulty realizing the importance of setting the environment.")</f>
        <v>The student has difficulty realizing the importance of setting the environment.</v>
      </c>
      <c r="F18" s="5"/>
      <c r="G18" s="7" t="s">
        <v>9</v>
      </c>
      <c r="H18" s="7"/>
      <c r="I18" s="15" t="s">
        <v>8</v>
      </c>
      <c r="J18" s="21"/>
      <c r="K18" s="4" t="s">
        <v>25</v>
      </c>
      <c r="L18" s="4"/>
      <c r="M18" s="4" t="s">
        <v>28</v>
      </c>
      <c r="N18" s="4"/>
    </row>
    <row r="19">
      <c r="A19" s="5">
        <v>22.0</v>
      </c>
      <c r="B19" s="6" t="s">
        <v>27</v>
      </c>
      <c r="C19" s="6" t="s">
        <v>7</v>
      </c>
      <c r="D19" s="5" t="str">
        <f>IFERROR(__xludf.DUMMYFUNCTION("filter('Imported Challenges'!B:D,'Imported Challenges'!A:A=A19)"),"The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E19" s="5"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F19" s="5" t="str">
        <f>IFERROR(__xludf.DUMMYFUNCTION("""COMPUTED_VALUE"""),"There is a large number of DevOps tools.")</f>
        <v>There is a large number of DevOps tools.</v>
      </c>
      <c r="G19" s="7" t="s">
        <v>9</v>
      </c>
      <c r="H19" s="7"/>
      <c r="I19" s="15" t="s">
        <v>9</v>
      </c>
      <c r="J19" s="15"/>
      <c r="K19" s="4"/>
      <c r="L19" s="4"/>
      <c r="M19" s="4"/>
      <c r="N19" s="4"/>
    </row>
    <row r="20">
      <c r="A20" s="5">
        <v>25.0</v>
      </c>
      <c r="B20" s="6" t="s">
        <v>24</v>
      </c>
      <c r="C20" s="6" t="s">
        <v>7</v>
      </c>
      <c r="D20" s="5" t="str">
        <f>IFERROR(__xludf.DUMMYFUNCTION("filter('Imported Challenges'!B:D,'Imported Challenges'!A:A=A20)"),"The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E20" s="5"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F20" s="5" t="str">
        <f>IFERROR(__xludf.DUMMYFUNCTION("""COMPUTED_VALUE"""),"DevOps culture is hard to teach. ")</f>
        <v>DevOps culture is hard to teach. </v>
      </c>
      <c r="G20" s="7" t="s">
        <v>9</v>
      </c>
      <c r="H20" s="7"/>
      <c r="I20" s="15" t="s">
        <v>9</v>
      </c>
      <c r="J20" s="15"/>
      <c r="K20" s="4"/>
      <c r="L20" s="4"/>
      <c r="M20" s="4"/>
      <c r="N20" s="4"/>
    </row>
    <row r="21">
      <c r="A21" s="5">
        <v>26.0</v>
      </c>
      <c r="B21" s="6" t="s">
        <v>26</v>
      </c>
      <c r="C21" s="6" t="s">
        <v>7</v>
      </c>
      <c r="D21" s="5" t="str">
        <f>IFERROR(__xludf.DUMMYFUNCTION("filter('Imported Challenges'!B:D,'Imported Challenges'!A:A=A21)"),"The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E21" s="5"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F21" s="5" t="str">
        <f>IFERROR(__xludf.DUMMYFUNCTION("""COMPUTED_VALUE"""),"It's hard to show to students that DevOps is not all about tooling.")</f>
        <v>It's hard to show to students that DevOps is not all about tooling.</v>
      </c>
      <c r="G21" s="7" t="s">
        <v>9</v>
      </c>
      <c r="H21" s="7"/>
      <c r="I21" s="15" t="s">
        <v>9</v>
      </c>
      <c r="J21" s="15"/>
      <c r="K21" s="4"/>
      <c r="L21" s="4"/>
      <c r="M21" s="4"/>
      <c r="N21" s="4"/>
    </row>
    <row r="22">
      <c r="A22" s="5">
        <v>28.0</v>
      </c>
      <c r="B22" s="6" t="s">
        <v>24</v>
      </c>
      <c r="C22" s="6" t="s">
        <v>7</v>
      </c>
      <c r="D22" s="5" t="str">
        <f>IFERROR(__xludf.DUMMYFUNCTION("filter('Imported Challenges'!B:D,'Imported Challenges'!A:A=A22)"),"[...]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E22" s="5" t="str">
        <f>IFERROR(__xludf.DUMMYFUNCTION("""COMPUTED_VALUE"""),"Difficulty dealing with assessments based on a traditional test model.")</f>
        <v>Difficulty dealing with assessments based on a traditional test model.</v>
      </c>
      <c r="F22" s="5"/>
      <c r="G22" s="7" t="s">
        <v>9</v>
      </c>
      <c r="H22" s="7"/>
      <c r="I22" s="15" t="s">
        <v>9</v>
      </c>
      <c r="J22" s="15"/>
      <c r="K22" s="4"/>
      <c r="L22" s="4"/>
      <c r="M22" s="4"/>
      <c r="N22" s="4"/>
    </row>
    <row r="23">
      <c r="A23" s="5">
        <v>29.0</v>
      </c>
      <c r="B23" s="6" t="s">
        <v>26</v>
      </c>
      <c r="C23" s="6" t="s">
        <v>7</v>
      </c>
      <c r="D23" s="5" t="str">
        <f>IFERROR(__xludf.DUMMYFUNCTION("filter('Imported Challenges'!B:D,'Imported Challenges'!A:A=A23)"),"The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E23" s="5"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F23" s="5" t="str">
        <f>IFERROR(__xludf.DUMMYFUNCTION("""COMPUTED_VALUE"""),"The multidiscuplinary of DevOps is hard to deal with.")</f>
        <v>The multidiscuplinary of DevOps is hard to deal with.</v>
      </c>
      <c r="G23" s="7" t="s">
        <v>9</v>
      </c>
      <c r="H23" s="4"/>
      <c r="I23" s="15" t="s">
        <v>9</v>
      </c>
      <c r="J23" s="15"/>
      <c r="K23" s="4"/>
      <c r="L23" s="4"/>
      <c r="M23" s="4"/>
      <c r="N23" s="4"/>
    </row>
    <row r="24">
      <c r="A24" s="5">
        <v>30.0</v>
      </c>
      <c r="B24" s="6" t="s">
        <v>27</v>
      </c>
      <c r="C24" s="6" t="s">
        <v>7</v>
      </c>
      <c r="D24" s="5" t="str">
        <f>IFERROR(__xludf.DUMMYFUNCTION("filter('Imported Challenges'!B:D,'Imported Challenges'!A:A=A24)"),"If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E24" s="5"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F24" s="5" t="str">
        <f>IFERROR(__xludf.DUMMYFUNCTION("""COMPUTED_VALUE"""),"Teach DevOps concepts to students no industrial experience is hard.")</f>
        <v>Teach DevOps concepts to students no industrial experience is hard.</v>
      </c>
      <c r="G24" s="7" t="s">
        <v>9</v>
      </c>
      <c r="H24" s="4"/>
      <c r="I24" s="15" t="s">
        <v>9</v>
      </c>
      <c r="J24" s="15"/>
      <c r="K24" s="4"/>
      <c r="L24" s="4"/>
      <c r="M24" s="4"/>
      <c r="N24" s="4"/>
    </row>
    <row r="25">
      <c r="A25" s="5">
        <v>31.0</v>
      </c>
      <c r="B25" s="6" t="s">
        <v>24</v>
      </c>
      <c r="C25" s="6" t="s">
        <v>7</v>
      </c>
      <c r="D25" s="5" t="str">
        <f>IFERROR(__xludf.DUMMYFUNCTION("filter('Imported Challenges'!B:D,'Imported Challenges'!A:A=A25)"),"DevSecOps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E25" s="5"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F25" s="5" t="str">
        <f>IFERROR(__xludf.DUMMYFUNCTION("""COMPUTED_VALUE"""),"Skills to teach DevOps are challeging.")</f>
        <v>Skills to teach DevOps are challeging.</v>
      </c>
      <c r="G25" s="7" t="s">
        <v>9</v>
      </c>
      <c r="H25" s="7"/>
      <c r="I25" s="15" t="s">
        <v>9</v>
      </c>
      <c r="J25" s="15"/>
      <c r="K25" s="4"/>
      <c r="L25" s="4"/>
      <c r="M25" s="4"/>
      <c r="N25" s="4"/>
    </row>
    <row r="26">
      <c r="A26" s="5">
        <v>32.0</v>
      </c>
      <c r="B26" s="6" t="s">
        <v>26</v>
      </c>
      <c r="C26" s="6" t="s">
        <v>7</v>
      </c>
      <c r="D26" s="5" t="str">
        <f>IFERROR(__xludf.DUMMYFUNCTION("filter('Imported Challenges'!B:D,'Imported Challenges'!A:A=A26)"),"The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E26" s="5"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F26" s="5" t="str">
        <f>IFERROR(__xludf.DUMMYFUNCTION("""COMPUTED_VALUE"""),"It's challeging to deal with students having different backgrounds.")</f>
        <v>It's challeging to deal with students having different backgrounds.</v>
      </c>
      <c r="G26" s="7" t="s">
        <v>8</v>
      </c>
      <c r="H26" s="7"/>
      <c r="I26" s="15" t="s">
        <v>8</v>
      </c>
      <c r="J26" s="15"/>
      <c r="K26" s="4"/>
      <c r="L26" s="4"/>
      <c r="M26" s="4"/>
      <c r="N26" s="4"/>
    </row>
    <row r="27">
      <c r="A27" s="6">
        <v>27.0</v>
      </c>
      <c r="B27" s="6" t="s">
        <v>27</v>
      </c>
      <c r="C27" s="6" t="s">
        <v>7</v>
      </c>
      <c r="D27" s="5" t="str">
        <f>IFERROR(__xludf.DUMMYFUNCTION("filter('Imported Challenges'!B:D,'Imported Challenges'!A:A=A27)"),"As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E27" s="6"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F27" s="5"/>
      <c r="G27" s="7" t="s">
        <v>8</v>
      </c>
      <c r="H27" s="7"/>
      <c r="I27" s="15" t="s">
        <v>8</v>
      </c>
      <c r="J27" s="15"/>
      <c r="K27" s="4"/>
      <c r="L27" s="4"/>
      <c r="M27" s="4"/>
      <c r="N27" s="4"/>
    </row>
    <row r="28">
      <c r="A28" s="6">
        <v>33.0</v>
      </c>
      <c r="B28" s="6" t="s">
        <v>24</v>
      </c>
      <c r="C28" s="6" t="s">
        <v>7</v>
      </c>
      <c r="D28" s="5" t="str">
        <f>IFERROR(__xludf.DUMMYFUNCTION("filter('Imported Challenges'!B:D,'Imported Challenges'!A:A=A28)"),"Another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E28" s="6" t="str">
        <f>IFERROR(__xludf.DUMMYFUNCTION("""COMPUTED_VALUE"""),"Students find it difficult to configure the tools on their own machines in remote teaching mode.")</f>
        <v>Students find it difficult to configure the tools on their own machines in remote teaching mode.</v>
      </c>
      <c r="F28" s="5"/>
      <c r="G28" s="7" t="s">
        <v>8</v>
      </c>
      <c r="H28" s="7"/>
      <c r="I28" s="15" t="s">
        <v>8</v>
      </c>
      <c r="J28" s="15"/>
      <c r="K28" s="4"/>
      <c r="L28" s="4"/>
      <c r="M28" s="4"/>
      <c r="N28" s="4"/>
    </row>
    <row r="29">
      <c r="A29" s="5">
        <v>35.0</v>
      </c>
      <c r="B29" s="5"/>
      <c r="C29" s="6" t="s">
        <v>7</v>
      </c>
      <c r="D29" s="5" t="str">
        <f>IFERROR(__xludf.DUMMYFUNCTION("filter('Imported Challenges'!B:D,'Imported Challenges'!A:A=A29)"),"The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E29" s="5"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F29" s="5" t="str">
        <f>IFERROR(__xludf.DUMMYFUNCTION("""COMPUTED_VALUE"""),"It's challeging to balance DevOps theory and practice.")</f>
        <v>It's challeging to balance DevOps theory and practice.</v>
      </c>
      <c r="G29" s="7" t="s">
        <v>9</v>
      </c>
      <c r="H29" s="7"/>
      <c r="I29" s="15" t="s">
        <v>9</v>
      </c>
      <c r="J29" s="15"/>
      <c r="K29" s="4"/>
      <c r="L29" s="4"/>
      <c r="M29" s="4"/>
      <c r="N29" s="4"/>
    </row>
    <row r="30">
      <c r="A30" s="5">
        <v>36.0</v>
      </c>
      <c r="B30" s="6" t="s">
        <v>27</v>
      </c>
      <c r="C30" s="6" t="s">
        <v>7</v>
      </c>
      <c r="D30" s="10" t="str">
        <f>IFERROR(__xludf.DUMMYFUNCTION("filter('Imported Challenges'!B:D,'Imported Challenges'!A:A=A30)"),"For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E30" s="10"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F30" s="10" t="str">
        <f>IFERROR(__xludf.DUMMYFUNCTION("""COMPUTED_VALUE"""),"Comunications with students is hard when classes are remote.")</f>
        <v>Comunications with students is hard when classes are remote.</v>
      </c>
      <c r="G30" s="7" t="s">
        <v>8</v>
      </c>
      <c r="H30" s="7"/>
      <c r="I30" s="15" t="s">
        <v>8</v>
      </c>
      <c r="J30" s="15"/>
      <c r="K30" s="4"/>
      <c r="L30" s="4"/>
      <c r="M30" s="4"/>
      <c r="N30" s="4"/>
    </row>
    <row r="31">
      <c r="A31" s="5">
        <v>37.0</v>
      </c>
      <c r="B31" s="6" t="s">
        <v>24</v>
      </c>
      <c r="C31" s="6" t="s">
        <v>7</v>
      </c>
      <c r="D31" s="10" t="str">
        <f>IFERROR(__xludf.DUMMYFUNCTION("filter('Imported Challenges'!B:D,'Imported Challenges'!A:A=A31)"),"There's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E31" s="5" t="str">
        <f>IFERROR(__xludf.DUMMYFUNCTION("""COMPUTED_VALUE"""),"Difficulty in understanding environment, tools and network configuration.")</f>
        <v>Difficulty in understanding environment, tools and network configuration.</v>
      </c>
      <c r="F31" s="5"/>
      <c r="G31" s="7" t="s">
        <v>8</v>
      </c>
      <c r="H31" s="7"/>
      <c r="I31" s="15" t="s">
        <v>8</v>
      </c>
      <c r="J31" s="15"/>
      <c r="K31" s="4" t="s">
        <v>25</v>
      </c>
      <c r="L31" s="4" t="s">
        <v>25</v>
      </c>
      <c r="M31" s="4"/>
      <c r="N31" s="4"/>
    </row>
    <row r="32">
      <c r="A32" s="5">
        <v>38.0</v>
      </c>
      <c r="B32" s="6" t="s">
        <v>26</v>
      </c>
      <c r="C32" s="6" t="s">
        <v>7</v>
      </c>
      <c r="D32" s="10" t="str">
        <f>IFERROR(__xludf.DUMMYFUNCTION("filter('Imported Challenges'!B:D,'Imported Challenges'!A:A=A32)"),"When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E32" s="5"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F32" s="5"/>
      <c r="G32" s="7" t="s">
        <v>9</v>
      </c>
      <c r="H32" s="7"/>
      <c r="I32" s="15" t="s">
        <v>9</v>
      </c>
      <c r="J32" s="15"/>
      <c r="K32" s="4"/>
      <c r="L32" s="4"/>
      <c r="M32" s="4"/>
      <c r="N32" s="4"/>
    </row>
    <row r="33">
      <c r="A33" s="5">
        <v>39.0</v>
      </c>
      <c r="B33" s="6" t="s">
        <v>27</v>
      </c>
      <c r="C33" s="6" t="s">
        <v>7</v>
      </c>
      <c r="D33" s="5" t="str">
        <f>IFERROR(__xludf.DUMMYFUNCTION("filter('Imported Challenges'!B:D,'Imported Challenges'!A:A=A33)"),"This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E33" s="5"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F33" s="5" t="str">
        <f>IFERROR(__xludf.DUMMYFUNCTION("""COMPUTED_VALUE"""),"It's challeging to find the right sized examples to teach DevOps.")</f>
        <v>It's challeging to find the right sized examples to teach DevOps.</v>
      </c>
      <c r="G33" s="7" t="s">
        <v>8</v>
      </c>
      <c r="H33" s="7"/>
      <c r="I33" s="15" t="s">
        <v>8</v>
      </c>
      <c r="J33" s="15"/>
      <c r="K33" s="4"/>
      <c r="L33" s="4"/>
      <c r="M33" s="4"/>
      <c r="N33" s="4"/>
    </row>
    <row r="34">
      <c r="A34" s="11">
        <v>34.0</v>
      </c>
      <c r="B34" s="22" t="s">
        <v>24</v>
      </c>
      <c r="C34" s="22" t="s">
        <v>7</v>
      </c>
      <c r="D34" s="5" t="str">
        <f>IFERROR(__xludf.DUMMYFUNCTION("filter('Imported Challenges'!B:D,'Imported Challenges'!A:A=A34)"),"Doing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E34" s="11"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F34" s="22" t="str">
        <f>IFERROR(__xludf.DUMMYFUNCTION("""COMPUTED_VALUE"""),"Small examples weren't really satisfactory.")</f>
        <v>Small examples weren't really satisfactory.</v>
      </c>
      <c r="G34" s="7" t="s">
        <v>9</v>
      </c>
      <c r="H34" s="7"/>
      <c r="I34" s="15" t="s">
        <v>9</v>
      </c>
      <c r="J34" s="15"/>
      <c r="K34" s="4"/>
      <c r="L34" s="4"/>
      <c r="M34" s="4"/>
      <c r="N34" s="4"/>
    </row>
    <row r="35">
      <c r="A35" s="5">
        <v>40.0</v>
      </c>
      <c r="B35" s="6" t="s">
        <v>24</v>
      </c>
      <c r="C35" s="6" t="s">
        <v>7</v>
      </c>
      <c r="D35" s="5" t="str">
        <f>IFERROR(__xludf.DUMMYFUNCTION("filter('Imported Challenges'!B:D,'Imported Challenges'!A:A=A35)"),"So,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E35" s="5"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F35" s="5" t="str">
        <f>IFERROR(__xludf.DUMMYFUNCTION("""COMPUTED_VALUE"""),"Lack of time to prepare classes to teach DevOps.")</f>
        <v>Lack of time to prepare classes to teach DevOps.</v>
      </c>
      <c r="G35" s="7" t="s">
        <v>8</v>
      </c>
      <c r="H35" s="7"/>
      <c r="I35" s="15" t="s">
        <v>8</v>
      </c>
      <c r="J35" s="15"/>
      <c r="K35" s="4"/>
      <c r="L35" s="4"/>
      <c r="M35" s="4"/>
      <c r="N35" s="4"/>
    </row>
    <row r="36">
      <c r="A36" s="5">
        <v>41.0</v>
      </c>
      <c r="B36" s="6" t="s">
        <v>26</v>
      </c>
      <c r="C36" s="6" t="s">
        <v>7</v>
      </c>
      <c r="D36" s="5" t="str">
        <f>IFERROR(__xludf.DUMMYFUNCTION("filter('Imported Challenges'!B:D,'Imported Challenges'!A:A=A36)"),"If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E36" s="5"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F36" s="5" t="str">
        <f>IFERROR(__xludf.DUMMYFUNCTION("""COMPUTED_VALUE"""),"It's challeging to be up-to-date with industrial DevOps tools.")</f>
        <v>It's challeging to be up-to-date with industrial DevOps tools.</v>
      </c>
      <c r="G36" s="7" t="s">
        <v>8</v>
      </c>
      <c r="H36" s="7"/>
      <c r="I36" s="15" t="s">
        <v>8</v>
      </c>
      <c r="J36" s="15"/>
      <c r="K36" s="4"/>
      <c r="L36" s="4"/>
      <c r="M36" s="4"/>
      <c r="N36" s="4"/>
    </row>
    <row r="37">
      <c r="A37" s="5">
        <v>42.0</v>
      </c>
      <c r="B37" s="6" t="s">
        <v>27</v>
      </c>
      <c r="C37" s="6" t="s">
        <v>7</v>
      </c>
      <c r="D37" s="5" t="str">
        <f>IFERROR(__xludf.DUMMYFUNCTION("filter('Imported Challenges'!B:D,'Imported Challenges'!A:A=A37)"),"[...]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E37" s="5"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F37" s="5" t="str">
        <f>IFERROR(__xludf.DUMMYFUNCTION("""COMPUTED_VALUE"""),"It's difficult to deal with different hardware and software.")</f>
        <v>It's difficult to deal with different hardware and software.</v>
      </c>
      <c r="G37" s="7" t="s">
        <v>8</v>
      </c>
      <c r="H37" s="7"/>
      <c r="I37" s="15" t="s">
        <v>8</v>
      </c>
      <c r="J37" s="15"/>
      <c r="K37" s="4" t="s">
        <v>25</v>
      </c>
      <c r="L37" s="4" t="s">
        <v>25</v>
      </c>
      <c r="M37" s="4"/>
      <c r="N37" s="4"/>
    </row>
    <row r="38">
      <c r="A38" s="5">
        <v>43.0</v>
      </c>
      <c r="B38" s="6" t="s">
        <v>24</v>
      </c>
      <c r="C38" s="5"/>
      <c r="D38" s="10" t="str">
        <f>IFERROR(__xludf.DUMMYFUNCTION("filter('Imported Challenges'!B:D,'Imported Challenges'!A:A=A38)"),"Then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E38" s="10"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F38" s="10" t="str">
        <f>IFERROR(__xludf.DUMMYFUNCTION("""COMPUTED_VALUE"""),"Prepare the labs environment requires a lot of time.")</f>
        <v>Prepare the labs environment requires a lot of time.</v>
      </c>
      <c r="G38" s="7" t="s">
        <v>9</v>
      </c>
      <c r="H38" s="7"/>
      <c r="I38" s="15" t="s">
        <v>9</v>
      </c>
      <c r="J38" s="15"/>
      <c r="K38" s="4"/>
      <c r="L38" s="4"/>
      <c r="M38" s="4"/>
      <c r="N38" s="4"/>
    </row>
    <row r="39">
      <c r="A39" s="5">
        <v>44.0</v>
      </c>
      <c r="B39" s="6" t="s">
        <v>26</v>
      </c>
      <c r="C39" s="6" t="s">
        <v>7</v>
      </c>
      <c r="D39" s="5" t="str">
        <f>IFERROR(__xludf.DUMMYFUNCTION("filter('Imported Challenges'!B:D,'Imported Challenges'!A:A=A39)"),"Material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E39" s="6" t="str">
        <f>IFERROR(__xludf.DUMMYFUNCTION("""COMPUTED_VALUE"""),"There is no unified material for teaching DevOps.
There is no complete material to teach DevOps.")</f>
        <v>There is no unified material for teaching DevOps.
There is no complete material to teach DevOps.</v>
      </c>
      <c r="F39" s="5" t="str">
        <f>IFERROR(__xludf.DUMMYFUNCTION("""COMPUTED_VALUE"""),"Unknown unified material for teaching DevOps.")</f>
        <v>Unknown unified material for teaching DevOps.</v>
      </c>
      <c r="G39" s="7" t="s">
        <v>9</v>
      </c>
      <c r="H39" s="7"/>
      <c r="I39" s="15" t="s">
        <v>9</v>
      </c>
      <c r="J39" s="15"/>
      <c r="K39" s="4"/>
      <c r="L39" s="4"/>
      <c r="M39" s="4"/>
      <c r="N39" s="4"/>
    </row>
    <row r="40">
      <c r="A40" s="5">
        <v>45.0</v>
      </c>
      <c r="B40" s="6" t="s">
        <v>27</v>
      </c>
      <c r="C40" s="6" t="s">
        <v>7</v>
      </c>
      <c r="D40" s="5" t="str">
        <f>IFERROR(__xludf.DUMMYFUNCTION("filter('Imported Challenges'!B:D,'Imported Challenges'!A:A=A40)"),"Because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E40" s="5"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F40" s="5" t="str">
        <f>IFERROR(__xludf.DUMMYFUNCTION("""COMPUTED_VALUE"""),"Difficulty in using multiple materials to create the classes.")</f>
        <v>Difficulty in using multiple materials to create the classes.</v>
      </c>
      <c r="G40" s="7" t="s">
        <v>9</v>
      </c>
      <c r="H40" s="7"/>
      <c r="I40" s="15" t="s">
        <v>8</v>
      </c>
      <c r="J40" s="15"/>
      <c r="K40" s="4" t="s">
        <v>25</v>
      </c>
      <c r="L40" s="4"/>
      <c r="M40" s="4" t="s">
        <v>29</v>
      </c>
      <c r="N40" s="4"/>
    </row>
    <row r="41" ht="134.25" customHeight="1">
      <c r="A41" s="5">
        <v>46.0</v>
      </c>
      <c r="B41" s="6" t="s">
        <v>24</v>
      </c>
      <c r="C41" s="6" t="s">
        <v>7</v>
      </c>
      <c r="D41" s="5" t="str">
        <f>IFERROR(__xludf.DUMMYFUNCTION("filter('Imported Challenges'!B:D,'Imported Challenges'!A:A=A41)"),"And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E41" s="5"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F41" s="5" t="str">
        <f>IFERROR(__xludf.DUMMYFUNCTION("""COMPUTED_VALUE"""),"Students rely on limited material instead of reading books.")</f>
        <v>Students rely on limited material instead of reading books.</v>
      </c>
      <c r="G41" s="7" t="s">
        <v>8</v>
      </c>
      <c r="H41" s="7"/>
      <c r="I41" s="15" t="s">
        <v>8</v>
      </c>
      <c r="J41" s="15"/>
      <c r="K41" s="4"/>
      <c r="L41" s="4"/>
      <c r="M41" s="4"/>
      <c r="N41" s="4"/>
    </row>
    <row r="42" ht="123.75" customHeight="1">
      <c r="A42" s="5">
        <v>47.0</v>
      </c>
      <c r="B42" s="6" t="s">
        <v>26</v>
      </c>
      <c r="C42" s="6" t="s">
        <v>7</v>
      </c>
      <c r="D42" s="5" t="str">
        <f>IFERROR(__xludf.DUMMYFUNCTION("filter('Imported Challenges'!B:D,'Imported Challenges'!A:A=A42)"),"There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E42" s="5"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F42" s="5"/>
      <c r="G42" s="7" t="s">
        <v>9</v>
      </c>
      <c r="H42" s="7"/>
      <c r="I42" s="15" t="s">
        <v>9</v>
      </c>
      <c r="J42" s="15"/>
      <c r="K42" s="4"/>
      <c r="L42" s="4"/>
      <c r="M42" s="4"/>
      <c r="N42" s="4"/>
    </row>
    <row r="43" ht="123.75" customHeight="1">
      <c r="A43" s="5">
        <v>48.0</v>
      </c>
      <c r="B43" s="6" t="s">
        <v>27</v>
      </c>
      <c r="C43" s="6" t="s">
        <v>7</v>
      </c>
      <c r="D43" s="5" t="str">
        <f>IFERROR(__xludf.DUMMYFUNCTION("filter('Imported Challenges'!B:D,'Imported Challenges'!A:A=A43)"),"There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E43" s="5"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F43" s="5" t="str">
        <f>IFERROR(__xludf.DUMMYFUNCTION("""COMPUTED_VALUE"""),"Difficulty in structuring the learning journey.")</f>
        <v>Difficulty in structuring the learning journey.</v>
      </c>
      <c r="G43" s="7" t="s">
        <v>8</v>
      </c>
      <c r="H43" s="7"/>
      <c r="I43" s="15" t="s">
        <v>8</v>
      </c>
      <c r="J43" s="15"/>
      <c r="K43" s="4"/>
      <c r="L43" s="4"/>
      <c r="M43" s="4"/>
      <c r="N43" s="4"/>
    </row>
    <row r="44" ht="123.75" customHeight="1">
      <c r="A44" s="5">
        <v>49.0</v>
      </c>
      <c r="B44" s="6" t="s">
        <v>24</v>
      </c>
      <c r="C44" s="6" t="s">
        <v>7</v>
      </c>
      <c r="D44" s="5" t="str">
        <f>IFERROR(__xludf.DUMMYFUNCTION("filter('Imported Challenges'!B:D,'Imported Challenges'!A:A=A44)"),"team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E44" s="5" t="str">
        <f>IFERROR(__xludf.DUMMYFUNCTION("""COMPUTED_VALUE"""),"Large class assessment requires great effort.")</f>
        <v>Large class assessment requires great effort.</v>
      </c>
      <c r="F44" s="5"/>
      <c r="G44" s="7" t="s">
        <v>8</v>
      </c>
      <c r="H44" s="23"/>
      <c r="I44" s="15" t="s">
        <v>8</v>
      </c>
      <c r="J44" s="15"/>
      <c r="K44" s="4" t="s">
        <v>25</v>
      </c>
      <c r="L44" s="4" t="s">
        <v>25</v>
      </c>
      <c r="M44" s="4"/>
      <c r="N44" s="4"/>
    </row>
    <row r="45">
      <c r="A45" s="5">
        <v>50.0</v>
      </c>
      <c r="B45" s="6" t="s">
        <v>26</v>
      </c>
      <c r="C45" s="6" t="s">
        <v>7</v>
      </c>
      <c r="D45" s="5" t="str">
        <f>IFERROR(__xludf.DUMMYFUNCTION("filter('Imported Challenges'!B:D,'Imported Challenges'!A:A=A45)"),"the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E45" s="5"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F45" s="5" t="str">
        <f>IFERROR(__xludf.DUMMYFUNCTION("""COMPUTED_VALUE"""),"It is difficult to create a DevOps course without a previous reference ones.")</f>
        <v>It is difficult to create a DevOps course without a previous reference ones.</v>
      </c>
      <c r="G45" s="7" t="s">
        <v>8</v>
      </c>
      <c r="H45" s="7"/>
      <c r="I45" s="15" t="s">
        <v>8</v>
      </c>
      <c r="J45" s="15"/>
      <c r="K45" s="4"/>
      <c r="L45" s="4"/>
      <c r="M45" s="4"/>
      <c r="N45" s="4"/>
    </row>
    <row r="46">
      <c r="A46" s="5">
        <v>51.0</v>
      </c>
      <c r="B46" s="6" t="s">
        <v>27</v>
      </c>
      <c r="C46" s="6" t="s">
        <v>7</v>
      </c>
      <c r="D46" s="10" t="str">
        <f>IFERROR(__xludf.DUMMYFUNCTION("filter('Imported Challenges'!B:D,'Imported Challenges'!A:A=A46)"),"This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E46" s="10" t="str">
        <f>IFERROR(__xludf.DUMMYFUNCTION("""COMPUTED_VALUE"""),"Rapid and constant changes in DevOps make it difficult to create a teaching plan.")</f>
        <v>Rapid and constant changes in DevOps make it difficult to create a teaching plan.</v>
      </c>
      <c r="F46" s="10"/>
      <c r="G46" s="7" t="s">
        <v>9</v>
      </c>
      <c r="H46" s="7"/>
      <c r="I46" s="15" t="s">
        <v>9</v>
      </c>
      <c r="J46" s="15"/>
      <c r="K46" s="4"/>
      <c r="L46" s="4"/>
      <c r="M46" s="4"/>
      <c r="N46" s="4"/>
    </row>
    <row r="47">
      <c r="A47" s="5">
        <v>52.0</v>
      </c>
      <c r="B47" s="6" t="s">
        <v>24</v>
      </c>
      <c r="C47" s="6" t="s">
        <v>7</v>
      </c>
      <c r="D47" s="10" t="str">
        <f>IFERROR(__xludf.DUMMYFUNCTION("filter('Imported Challenges'!B:D,'Imported Challenges'!A:A=A47)"),"""DevOps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E47" s="10" t="str">
        <f>IFERROR(__xludf.DUMMYFUNCTION("""COMPUTED_VALUE"""),"Difficulty in linking DevOps classes with other subjects of interest to students.")</f>
        <v>Difficulty in linking DevOps classes with other subjects of interest to students.</v>
      </c>
      <c r="F47" s="10"/>
      <c r="G47" s="7" t="s">
        <v>9</v>
      </c>
      <c r="H47" s="7"/>
      <c r="I47" s="15" t="s">
        <v>9</v>
      </c>
      <c r="J47" s="15"/>
      <c r="K47" s="4"/>
      <c r="L47" s="4"/>
      <c r="M47" s="4"/>
      <c r="N47" s="4"/>
    </row>
    <row r="48">
      <c r="A48" s="5">
        <v>53.0</v>
      </c>
      <c r="B48" s="6" t="s">
        <v>27</v>
      </c>
      <c r="C48" s="6" t="s">
        <v>7</v>
      </c>
      <c r="D48" s="10" t="str">
        <f>IFERROR(__xludf.DUMMYFUNCTION("filter('Imported Challenges'!B:D,'Imported Challenges'!A:A=A48)"),"There are several environments in the cloud, but they all cost money.")</f>
        <v>There are several environments in the cloud, but they all cost money.</v>
      </c>
      <c r="E48" s="10" t="str">
        <f>IFERROR(__xludf.DUMMYFUNCTION("""COMPUTED_VALUE"""),"Environment set up in a cloud service cost money.")</f>
        <v>Environment set up in a cloud service cost money.</v>
      </c>
      <c r="F48" s="10"/>
      <c r="G48" s="7" t="s">
        <v>9</v>
      </c>
      <c r="H48" s="12"/>
      <c r="I48" s="15" t="s">
        <v>8</v>
      </c>
      <c r="J48" s="15"/>
      <c r="K48" s="4" t="s">
        <v>25</v>
      </c>
      <c r="L48" s="4"/>
      <c r="M48" s="4" t="s">
        <v>29</v>
      </c>
      <c r="N48" s="24" t="s">
        <v>30</v>
      </c>
    </row>
    <row r="49">
      <c r="A49" s="5">
        <v>54.0</v>
      </c>
      <c r="B49" s="6" t="s">
        <v>24</v>
      </c>
      <c r="C49" s="6" t="s">
        <v>7</v>
      </c>
      <c r="D49" s="10" t="str">
        <f>IFERROR(__xludf.DUMMYFUNCTION("filter('Imported Challenges'!B:D,'Imported Challenges'!A:A=A49)"),"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E49" s="17" t="str">
        <f>IFERROR(__xludf.DUMMYFUNCTION("""COMPUTED_VALUE"""),"VirtualBox has limitation in MacOS.")</f>
        <v>VirtualBox has limitation in MacOS.</v>
      </c>
      <c r="F49" s="10"/>
      <c r="G49" s="7" t="s">
        <v>8</v>
      </c>
      <c r="H49" s="7"/>
      <c r="I49" s="15" t="s">
        <v>8</v>
      </c>
      <c r="J49" s="15"/>
      <c r="K49" s="4"/>
      <c r="L49" s="4"/>
      <c r="M49" s="4"/>
      <c r="N49" s="4"/>
    </row>
    <row r="50">
      <c r="A50" s="5">
        <v>55.0</v>
      </c>
      <c r="B50" s="6" t="s">
        <v>26</v>
      </c>
      <c r="C50" s="6" t="s">
        <v>7</v>
      </c>
      <c r="D50" s="10" t="str">
        <f>IFERROR(__xludf.DUMMYFUNCTION("filter('Imported Challenges'!B:D,'Imported Challenges'!A:A=A50)"),"You have to find a set of tools that work together.
 For many people, getting them all to work together can be particularly challenging.")</f>
        <v>You have to find a set of tools that work together.
 For many people, getting them all to work together can be particularly challenging.</v>
      </c>
      <c r="E50" s="10"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F50" s="10" t="str">
        <f>IFERROR(__xludf.DUMMYFUNCTION("""COMPUTED_VALUE"""),"Getting all DevOps tools to work together is challenging.")</f>
        <v>Getting all DevOps tools to work together is challenging.</v>
      </c>
      <c r="G50" s="7" t="s">
        <v>9</v>
      </c>
      <c r="H50" s="7"/>
      <c r="I50" s="15" t="s">
        <v>9</v>
      </c>
      <c r="J50" s="15"/>
      <c r="K50" s="4"/>
      <c r="L50" s="4"/>
      <c r="M50" s="4"/>
      <c r="N50" s="4"/>
    </row>
    <row r="51">
      <c r="A51" s="5">
        <v>56.0</v>
      </c>
      <c r="B51" s="6" t="s">
        <v>27</v>
      </c>
      <c r="C51" s="6" t="s">
        <v>7</v>
      </c>
      <c r="D51" s="10" t="str">
        <f>IFERROR(__xludf.DUMMYFUNCTION("filter('Imported Challenges'!B:D,'Imported Challenges'!A:A=A51)"),"A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E51" s="10"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F51" s="10" t="str">
        <f>IFERROR(__xludf.DUMMYFUNCTION("""COMPUTED_VALUE"""),"It is difficult to teach agile techniques.")</f>
        <v>It is difficult to teach agile techniques.</v>
      </c>
      <c r="G51" s="7" t="s">
        <v>8</v>
      </c>
      <c r="H51" s="7"/>
      <c r="I51" s="15" t="s">
        <v>8</v>
      </c>
      <c r="J51" s="15"/>
      <c r="K51" s="4" t="s">
        <v>25</v>
      </c>
      <c r="L51" s="4" t="s">
        <v>25</v>
      </c>
      <c r="M51" s="4"/>
      <c r="N51" s="4"/>
    </row>
    <row r="52">
      <c r="A52" s="5">
        <v>57.0</v>
      </c>
      <c r="B52" s="6" t="s">
        <v>24</v>
      </c>
      <c r="C52" s="6" t="s">
        <v>7</v>
      </c>
      <c r="D52" s="10" t="str">
        <f>IFERROR(__xludf.DUMMYFUNCTION("filter('Imported Challenges'!B:D,'Imported Challenges'!A:A=A52)"),"Are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E52" s="10" t="str">
        <f>IFERROR(__xludf.DUMMYFUNCTION("""COMPUTED_VALUE"""),"It is challeging to verify if the students learn the devops process of working.")</f>
        <v>It is challeging to verify if the students learn the devops process of working.</v>
      </c>
      <c r="F52" s="10"/>
      <c r="G52" s="7" t="s">
        <v>9</v>
      </c>
      <c r="H52" s="7"/>
      <c r="I52" s="15" t="s">
        <v>9</v>
      </c>
      <c r="J52" s="15"/>
      <c r="K52" s="4"/>
      <c r="L52" s="4"/>
      <c r="M52" s="4"/>
      <c r="N52" s="4"/>
    </row>
    <row r="53">
      <c r="A53" s="5">
        <v>58.0</v>
      </c>
      <c r="B53" s="6" t="s">
        <v>26</v>
      </c>
      <c r="C53" s="6" t="s">
        <v>7</v>
      </c>
      <c r="D53" s="10" t="str">
        <f>IFERROR(__xludf.DUMMYFUNCTION("filter('Imported Challenges'!B:D,'Imported Challenges'!A:A=A53)"),"Doing a hands-on class with that many (45) students is just physically challenging.")</f>
        <v>Doing a hands-on class with that many (45) students is just physically challenging.</v>
      </c>
      <c r="E53" s="10" t="str">
        <f>IFERROR(__xludf.DUMMYFUNCTION("""COMPUTED_VALUE"""),"Doing a hands-on class with that many (45) students is just physically challenging.")</f>
        <v>Doing a hands-on class with that many (45) students is just physically challenging.</v>
      </c>
      <c r="F53" s="10"/>
      <c r="G53" s="7" t="s">
        <v>8</v>
      </c>
      <c r="H53" s="7"/>
      <c r="I53" s="15" t="s">
        <v>8</v>
      </c>
      <c r="J53" s="15"/>
      <c r="K53" s="4"/>
      <c r="L53" s="4"/>
      <c r="M53" s="4"/>
      <c r="N53" s="4"/>
    </row>
    <row r="54">
      <c r="A54" s="5">
        <v>59.0</v>
      </c>
      <c r="B54" s="6" t="s">
        <v>27</v>
      </c>
      <c r="C54" s="6" t="s">
        <v>7</v>
      </c>
      <c r="D54" s="10" t="str">
        <f>IFERROR(__xludf.DUMMYFUNCTION("filter('Imported Challenges'!B:D,'Imported Challenges'!A:A=A54)"),"You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E54" s="10" t="str">
        <f>IFERROR(__xludf.DUMMYFUNCTION("""COMPUTED_VALUE"""),"Teach operational activities is ignored because it is hard.")</f>
        <v>Teach operational activities is ignored because it is hard.</v>
      </c>
      <c r="F54" s="10"/>
      <c r="G54" s="7" t="s">
        <v>9</v>
      </c>
      <c r="H54" s="12"/>
      <c r="I54" s="15" t="s">
        <v>9</v>
      </c>
      <c r="J54" s="15"/>
      <c r="K54" s="4" t="s">
        <v>25</v>
      </c>
      <c r="L54" s="4" t="s">
        <v>25</v>
      </c>
      <c r="M54" s="4"/>
      <c r="N54" s="4"/>
    </row>
    <row r="55">
      <c r="A55" s="5">
        <v>60.0</v>
      </c>
      <c r="B55" s="6" t="s">
        <v>24</v>
      </c>
      <c r="C55" s="6" t="s">
        <v>7</v>
      </c>
      <c r="D55" s="10" t="str">
        <f>IFERROR(__xludf.DUMMYFUNCTION("filter('Imported Challenges'!B:D,'Imported Challenges'!A:A=A55)"),"That is a lot of the devops principles that come into play. ")</f>
        <v>That is a lot of the devops principles that come into play. </v>
      </c>
      <c r="E55" s="10" t="str">
        <f>IFERROR(__xludf.DUMMYFUNCTION("""COMPUTED_VALUE"""),"Many devops concepts need to be taught.")</f>
        <v>Many devops concepts need to be taught.</v>
      </c>
      <c r="F55" s="10"/>
      <c r="G55" s="7" t="s">
        <v>9</v>
      </c>
      <c r="H55" s="7"/>
      <c r="I55" s="15" t="s">
        <v>9</v>
      </c>
      <c r="J55" s="15"/>
      <c r="K55" s="4"/>
      <c r="L55" s="4"/>
      <c r="M55" s="4"/>
      <c r="N55" s="4"/>
    </row>
    <row r="56">
      <c r="A56" s="5">
        <v>61.0</v>
      </c>
      <c r="B56" s="6" t="s">
        <v>26</v>
      </c>
      <c r="C56" s="6" t="s">
        <v>7</v>
      </c>
      <c r="D56" s="10" t="str">
        <f>IFERROR(__xludf.DUMMYFUNCTION("filter('Imported Challenges'!B:D,'Imported Challenges'!A:A=A56)"),"It is very dangerous to teach too many tools because it's simply conveys that it is a very technology centric approach.")</f>
        <v>It is very dangerous to teach too many tools because it's simply conveys that it is a very technology centric approach.</v>
      </c>
      <c r="E56" s="10"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F56" s="10"/>
      <c r="G56" s="7" t="s">
        <v>9</v>
      </c>
      <c r="H56" s="7"/>
      <c r="I56" s="15" t="s">
        <v>9</v>
      </c>
      <c r="J56" s="15"/>
      <c r="K56" s="4"/>
      <c r="L56" s="4"/>
      <c r="M56" s="4"/>
      <c r="N56" s="4"/>
    </row>
    <row r="57">
      <c r="A57" s="5">
        <v>62.0</v>
      </c>
      <c r="B57" s="6" t="s">
        <v>27</v>
      </c>
      <c r="C57" s="6" t="s">
        <v>7</v>
      </c>
      <c r="D57" s="10" t="str">
        <f>IFERROR(__xludf.DUMMYFUNCTION("filter('Imported Challenges'!B:D,'Imported Challenges'!A:A=A57)"),"A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E57" s="10" t="str">
        <f>IFERROR(__xludf.DUMMYFUNCTION("""COMPUTED_VALUE"""),"Students are not at a level in the their companies where they can introduce DevOps mindset.")</f>
        <v>Students are not at a level in the their companies where they can introduce DevOps mindset.</v>
      </c>
      <c r="F57" s="10"/>
      <c r="G57" s="7" t="s">
        <v>9</v>
      </c>
      <c r="H57" s="7"/>
      <c r="I57" s="15" t="s">
        <v>9</v>
      </c>
      <c r="J57" s="15"/>
      <c r="K57" s="4"/>
      <c r="L57" s="4"/>
      <c r="M57" s="4"/>
      <c r="N57" s="4"/>
    </row>
    <row r="58">
      <c r="A58" s="5">
        <v>63.0</v>
      </c>
      <c r="B58" s="6" t="s">
        <v>24</v>
      </c>
      <c r="C58" s="6" t="s">
        <v>7</v>
      </c>
      <c r="D58" s="10" t="str">
        <f>IFERROR(__xludf.DUMMYFUNCTION("filter('Imported Challenges'!B:D,'Imported Challenges'!A:A=A58)"),"It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E58" s="10" t="str">
        <f>IFERROR(__xludf.DUMMYFUNCTION("""COMPUTED_VALUE"""),"It is hard to find strategies from industry unless if it written in a paper.")</f>
        <v>It is hard to find strategies from industry unless if it written in a paper.</v>
      </c>
      <c r="F58" s="10"/>
      <c r="G58" s="7" t="s">
        <v>8</v>
      </c>
      <c r="H58" s="7"/>
      <c r="I58" s="15" t="s">
        <v>8</v>
      </c>
      <c r="J58" s="15"/>
      <c r="K58" s="4"/>
      <c r="L58" s="4"/>
      <c r="M58" s="4"/>
      <c r="N58" s="4"/>
    </row>
    <row r="59">
      <c r="A59" s="5">
        <v>64.0</v>
      </c>
      <c r="B59" s="6" t="s">
        <v>26</v>
      </c>
      <c r="C59" s="6" t="s">
        <v>7</v>
      </c>
      <c r="D59" s="10" t="str">
        <f>IFERROR(__xludf.DUMMYFUNCTION("filter('Imported Challenges'!B:D,'Imported Challenges'!A:A=A59)"),"I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E59" s="10" t="str">
        <f>IFERROR(__xludf.DUMMYFUNCTION("""COMPUTED_VALUE"""),"Task done by students do not means that students learned correctly.")</f>
        <v>Task done by students do not means that students learned correctly.</v>
      </c>
      <c r="F59" s="10"/>
      <c r="G59" s="7" t="s">
        <v>8</v>
      </c>
      <c r="H59" s="7"/>
      <c r="I59" s="15" t="s">
        <v>8</v>
      </c>
      <c r="J59" s="15"/>
      <c r="K59" s="4"/>
      <c r="L59" s="4"/>
      <c r="M59" s="4"/>
      <c r="N59" s="4"/>
    </row>
    <row r="60">
      <c r="A60" s="5">
        <v>65.0</v>
      </c>
      <c r="B60" s="6" t="s">
        <v>27</v>
      </c>
      <c r="C60" s="6" t="s">
        <v>7</v>
      </c>
      <c r="D60" s="10" t="str">
        <f>IFERROR(__xludf.DUMMYFUNCTION("filter('Imported Challenges'!B:D,'Imported Challenges'!A:A=A60)"),"The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E60" s="25"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F60" s="10"/>
      <c r="G60" s="7" t="s">
        <v>8</v>
      </c>
      <c r="H60" s="7"/>
      <c r="I60" s="15" t="s">
        <v>8</v>
      </c>
      <c r="J60" s="15"/>
      <c r="K60" s="4"/>
      <c r="L60" s="4"/>
      <c r="M60" s="4"/>
      <c r="N60" s="4"/>
    </row>
    <row r="61">
      <c r="A61" s="5">
        <v>66.0</v>
      </c>
      <c r="B61" s="6" t="s">
        <v>24</v>
      </c>
      <c r="C61" s="6" t="s">
        <v>7</v>
      </c>
      <c r="D61" s="10" t="str">
        <f>IFERROR(__xludf.DUMMYFUNCTION("filter('Imported Challenges'!B:D,'Imported Challenges'!A:A=A61)"),"Human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E61" s="17"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F61" s="17" t="str">
        <f>IFERROR(__xludf.DUMMYFUNCTION("""COMPUTED_VALUE"""),"DevOps course doesn't look relevant for undergratuate students when you start teaching.")</f>
        <v>DevOps course doesn't look relevant for undergratuate students when you start teaching.</v>
      </c>
      <c r="G61" s="7" t="s">
        <v>9</v>
      </c>
      <c r="H61" s="7"/>
      <c r="I61" s="15" t="s">
        <v>9</v>
      </c>
      <c r="J61" s="15"/>
      <c r="K61" s="4"/>
      <c r="L61" s="4"/>
      <c r="M61" s="4"/>
      <c r="N61" s="4"/>
    </row>
    <row r="62">
      <c r="A62" s="5">
        <v>67.0</v>
      </c>
      <c r="B62" s="6" t="s">
        <v>26</v>
      </c>
      <c r="C62" s="6" t="s">
        <v>7</v>
      </c>
      <c r="D62" s="10" t="str">
        <f>IFERROR(__xludf.DUMMYFUNCTION("filter('Imported Challenges'!B:D,'Imported Challenges'!A:A=A62)"),"When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E62" s="10"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F62" s="10"/>
      <c r="G62" s="7" t="s">
        <v>9</v>
      </c>
      <c r="H62" s="7"/>
      <c r="I62" s="15" t="s">
        <v>9</v>
      </c>
      <c r="J62" s="15"/>
      <c r="K62" s="4"/>
      <c r="L62" s="4"/>
      <c r="M62" s="4"/>
      <c r="N62" s="4"/>
    </row>
    <row r="63">
      <c r="A63" s="5">
        <v>68.0</v>
      </c>
      <c r="B63" s="6" t="s">
        <v>27</v>
      </c>
      <c r="C63" s="6" t="s">
        <v>7</v>
      </c>
      <c r="D63" s="10" t="str">
        <f>IFERROR(__xludf.DUMMYFUNCTION("filter('Imported Challenges'!B:D,'Imported Challenges'!A:A=A63)"),"Uh,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E63" s="10" t="str">
        <f>IFERROR(__xludf.DUMMYFUNCTION("""COMPUTED_VALUE"""),"It's hard to supervise students' work when you use a lot of virtual machines.")</f>
        <v>It's hard to supervise students' work when you use a lot of virtual machines.</v>
      </c>
      <c r="F63" s="10"/>
      <c r="G63" s="7" t="s">
        <v>8</v>
      </c>
      <c r="H63" s="7"/>
      <c r="I63" s="15" t="s">
        <v>8</v>
      </c>
      <c r="J63" s="15"/>
      <c r="K63" s="4" t="s">
        <v>25</v>
      </c>
      <c r="L63" s="4" t="s">
        <v>25</v>
      </c>
      <c r="M63" s="4"/>
      <c r="N63" s="4"/>
    </row>
    <row r="64">
      <c r="A64" s="5">
        <v>69.0</v>
      </c>
      <c r="B64" s="6" t="s">
        <v>24</v>
      </c>
      <c r="C64" s="6" t="s">
        <v>7</v>
      </c>
      <c r="D64" s="10" t="str">
        <f>IFERROR(__xludf.DUMMYFUNCTION("filter('Imported Challenges'!B:D,'Imported Challenges'!A:A=A64)"),"It's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E64" s="10" t="str">
        <f>IFERROR(__xludf.DUMMYFUNCTION("""COMPUTED_VALUE"""),"It's hard for students to see the values of deployment side and they don't want to do operational activities.")</f>
        <v>It's hard for students to see the values of deployment side and they don't want to do operational activities.</v>
      </c>
      <c r="F64" s="10"/>
      <c r="G64" s="7" t="s">
        <v>9</v>
      </c>
      <c r="H64" s="7"/>
      <c r="I64" s="15" t="s">
        <v>9</v>
      </c>
      <c r="J64" s="15"/>
      <c r="K64" s="4"/>
      <c r="L64" s="4"/>
      <c r="M64" s="4"/>
      <c r="N64" s="4"/>
    </row>
    <row r="65">
      <c r="A65" s="5">
        <v>70.0</v>
      </c>
      <c r="B65" s="6" t="s">
        <v>26</v>
      </c>
      <c r="C65" s="6" t="s">
        <v>7</v>
      </c>
      <c r="D65" s="10" t="str">
        <f>IFERROR(__xludf.DUMMYFUNCTION("filter('Imported Challenges'!B:D,'Imported Challenges'!A:A=A65)"),"What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E65" s="10" t="str">
        <f>IFERROR(__xludf.DUMMYFUNCTION("""COMPUTED_VALUE"""),"It is hard to prepare a robust and simple technology stack.")</f>
        <v>It is hard to prepare a robust and simple technology stack.</v>
      </c>
      <c r="F65" s="10"/>
      <c r="G65" s="7" t="s">
        <v>8</v>
      </c>
      <c r="H65" s="7"/>
      <c r="I65" s="15" t="s">
        <v>8</v>
      </c>
      <c r="J65" s="15"/>
      <c r="K65" s="4" t="s">
        <v>25</v>
      </c>
      <c r="L65" s="4" t="s">
        <v>25</v>
      </c>
      <c r="M65" s="4"/>
      <c r="N65" s="4"/>
    </row>
    <row r="66">
      <c r="A66" s="5">
        <v>71.0</v>
      </c>
      <c r="B66" s="6" t="s">
        <v>27</v>
      </c>
      <c r="C66" s="6" t="s">
        <v>7</v>
      </c>
      <c r="D66" s="10" t="str">
        <f>IFERROR(__xludf.DUMMYFUNCTION("filter('Imported Challenges'!B:D,'Imported Challenges'!A:A=A66)"),"It's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E66" s="10"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F66" s="10" t="str">
        <f>IFERROR(__xludf.DUMMYFUNCTION("""COMPUTED_VALUE"""),"The preparation of the exercise is demanding.")</f>
        <v>The preparation of the exercise is demanding.</v>
      </c>
      <c r="G66" s="7" t="s">
        <v>9</v>
      </c>
      <c r="H66" s="7"/>
      <c r="I66" s="15" t="s">
        <v>8</v>
      </c>
      <c r="J66" s="15"/>
      <c r="K66" s="4" t="s">
        <v>25</v>
      </c>
      <c r="L66" s="4"/>
      <c r="M66" s="4" t="s">
        <v>28</v>
      </c>
      <c r="N66" s="26" t="s">
        <v>30</v>
      </c>
    </row>
    <row r="67">
      <c r="A67" s="5">
        <v>72.0</v>
      </c>
      <c r="B67" s="6" t="s">
        <v>24</v>
      </c>
      <c r="C67" s="6" t="s">
        <v>7</v>
      </c>
      <c r="D67" s="10" t="str">
        <f>IFERROR(__xludf.DUMMYFUNCTION("filter('Imported Challenges'!B:D,'Imported Challenges'!A:A=A67)"),"Um,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E67" s="10" t="str">
        <f>IFERROR(__xludf.DUMMYFUNCTION("""COMPUTED_VALUE"""),"Teach DevOps requires much knowledge from the professor who could not be familiar with it.")</f>
        <v>Teach DevOps requires much knowledge from the professor who could not be familiar with it.</v>
      </c>
      <c r="F67" s="10"/>
      <c r="G67" s="7" t="s">
        <v>9</v>
      </c>
      <c r="H67" s="7"/>
      <c r="I67" s="15" t="s">
        <v>9</v>
      </c>
      <c r="J67" s="15"/>
      <c r="K67" s="4"/>
      <c r="L67" s="4"/>
      <c r="M67" s="4"/>
      <c r="N67" s="4"/>
    </row>
    <row r="68">
      <c r="A68" s="5">
        <v>73.0</v>
      </c>
      <c r="B68" s="6" t="s">
        <v>26</v>
      </c>
      <c r="C68" s="6" t="s">
        <v>7</v>
      </c>
      <c r="D68" s="10" t="str">
        <f>IFERROR(__xludf.DUMMYFUNCTION("filter('Imported Challenges'!B:D,'Imported Challenges'!A:A=A68)"),"I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E68" s="10" t="str">
        <f>IFERROR(__xludf.DUMMYFUNCTION("""COMPUTED_VALUE"""),"It is arduous to analyse the code and run scripts for each project.")</f>
        <v>It is arduous to analyse the code and run scripts for each project.</v>
      </c>
      <c r="F68" s="10"/>
      <c r="G68" s="7" t="s">
        <v>8</v>
      </c>
      <c r="H68" s="7"/>
      <c r="I68" s="15" t="s">
        <v>8</v>
      </c>
      <c r="J68" s="15"/>
      <c r="K68" s="4"/>
      <c r="L68" s="4"/>
      <c r="M68" s="4"/>
      <c r="N68" s="4"/>
    </row>
    <row r="69">
      <c r="A69" s="5">
        <v>74.0</v>
      </c>
      <c r="B69" s="6" t="s">
        <v>27</v>
      </c>
      <c r="C69" s="6" t="s">
        <v>7</v>
      </c>
      <c r="D69" s="10" t="str">
        <f>IFERROR(__xludf.DUMMYFUNCTION("filter('Imported Challenges'!B:D,'Imported Challenges'!A:A=A69)"),"We show them Kubernetes, um, but they don't really have time to practice on Kubernetes.")</f>
        <v>We show them Kubernetes, um, but they don't really have time to practice on Kubernetes.</v>
      </c>
      <c r="E69" s="10" t="str">
        <f>IFERROR(__xludf.DUMMYFUNCTION("""COMPUTED_VALUE"""),"They don't have time to practice on Kubernetes because it is lot of work.")</f>
        <v>They don't have time to practice on Kubernetes because it is lot of work.</v>
      </c>
      <c r="F69" s="10"/>
      <c r="G69" s="7" t="s">
        <v>9</v>
      </c>
      <c r="H69" s="7"/>
      <c r="I69" s="15" t="s">
        <v>9</v>
      </c>
      <c r="J69" s="15"/>
      <c r="K69" s="4"/>
      <c r="L69" s="4"/>
      <c r="M69" s="4"/>
      <c r="N69" s="4"/>
    </row>
    <row r="70">
      <c r="A70" s="5">
        <v>75.0</v>
      </c>
      <c r="B70" s="6" t="s">
        <v>24</v>
      </c>
      <c r="C70" s="6" t="s">
        <v>7</v>
      </c>
      <c r="D70" s="10" t="str">
        <f>IFERROR(__xludf.DUMMYFUNCTION("filter('Imported Challenges'!B:D,'Imported Challenges'!A:A=A70)"),"And as I said, we, students are doing other things. So this means we are limited in what we can ask them.")</f>
        <v>And as I said, we, students are doing other things. So this means we are limited in what we can ask them.</v>
      </c>
      <c r="E70" s="10"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F70" s="10"/>
      <c r="G70" s="7" t="s">
        <v>8</v>
      </c>
      <c r="H70" s="7"/>
      <c r="I70" s="15" t="s">
        <v>8</v>
      </c>
      <c r="J70" s="15"/>
      <c r="K70" s="4"/>
      <c r="L70" s="4"/>
      <c r="M70" s="4"/>
      <c r="N70" s="4"/>
    </row>
    <row r="71">
      <c r="A71" s="5">
        <v>76.0</v>
      </c>
      <c r="B71" s="6" t="s">
        <v>26</v>
      </c>
      <c r="C71" s="6" t="s">
        <v>7</v>
      </c>
      <c r="D71" s="10" t="str">
        <f>IFERROR(__xludf.DUMMYFUNCTION("filter('Imported Challenges'!B:D,'Imported Challenges'!A:A=A71)"),"For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E71" s="10" t="str">
        <f>IFERROR(__xludf.DUMMYFUNCTION("""COMPUTED_VALUE"""),"Make a DevOps course attractive to the students is challenging.
Make the lectures attractive is difficult.")</f>
        <v>Make a DevOps course attractive to the students is challenging.
Make the lectures attractive is difficult.</v>
      </c>
      <c r="F71" s="10" t="str">
        <f>IFERROR(__xludf.DUMMYFUNCTION("""COMPUTED_VALUE"""),"Make a DevOps course attractive to the students is challenging.")</f>
        <v>Make a DevOps course attractive to the students is challenging.</v>
      </c>
      <c r="G71" s="7" t="s">
        <v>9</v>
      </c>
      <c r="H71" s="7"/>
      <c r="I71" s="15" t="s">
        <v>9</v>
      </c>
      <c r="J71" s="15"/>
      <c r="K71" s="4"/>
      <c r="L71" s="4"/>
      <c r="M71" s="4"/>
      <c r="N71" s="4"/>
    </row>
    <row r="72">
      <c r="A72" s="5">
        <v>77.0</v>
      </c>
      <c r="B72" s="6" t="s">
        <v>27</v>
      </c>
      <c r="C72" s="6" t="s">
        <v>7</v>
      </c>
      <c r="D72" s="10" t="str">
        <f>IFERROR(__xludf.DUMMYFUNCTION("filter('Imported Challenges'!B:D,'Imported Challenges'!A:A=A72)"),"The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E72" s="10"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F72" s="10" t="str">
        <f>IFERROR(__xludf.DUMMYFUNCTION("""COMPUTED_VALUE"""),"There is no convention as to what are the main DevOps concepts that should be taught.")</f>
        <v>There is no convention as to what are the main DevOps concepts that should be taught.</v>
      </c>
      <c r="G72" s="7" t="s">
        <v>9</v>
      </c>
      <c r="H72" s="7"/>
      <c r="I72" s="15" t="s">
        <v>9</v>
      </c>
      <c r="J72" s="15"/>
      <c r="K72" s="4"/>
      <c r="L72" s="4"/>
      <c r="M72" s="4"/>
      <c r="N72" s="4"/>
    </row>
    <row r="73">
      <c r="A73" s="5">
        <v>78.0</v>
      </c>
      <c r="B73" s="6" t="s">
        <v>24</v>
      </c>
      <c r="C73" s="6" t="s">
        <v>7</v>
      </c>
      <c r="D73" s="10" t="str">
        <f>IFERROR(__xludf.DUMMYFUNCTION("filter('Imported Challenges'!B:D,'Imported Challenges'!A:A=A73)"),"The,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E73" s="10"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F73" s="10"/>
      <c r="G73" s="7" t="s">
        <v>8</v>
      </c>
      <c r="H73" s="7"/>
      <c r="I73" s="15" t="s">
        <v>8</v>
      </c>
      <c r="J73" s="15"/>
      <c r="K73" s="4"/>
      <c r="L73" s="4"/>
      <c r="M73" s="4"/>
      <c r="N73" s="4"/>
    </row>
    <row r="74">
      <c r="A74" s="5">
        <v>79.0</v>
      </c>
      <c r="B74" s="6" t="s">
        <v>26</v>
      </c>
      <c r="C74" s="6" t="s">
        <v>7</v>
      </c>
      <c r="D74" s="10" t="str">
        <f>IFERROR(__xludf.DUMMYFUNCTION("filter('Imported Challenges'!B:D,'Imported Challenges'!A:A=A74)"),"JIRA is quite difficult to use in industry context, um, just because of the license model then. So it's, it's too complex.")</f>
        <v>JIRA is quite difficult to use in industry context, um, just because of the license model then. So it's, it's too complex.</v>
      </c>
      <c r="E74" s="10" t="str">
        <f>IFERROR(__xludf.DUMMYFUNCTION("""COMPUTED_VALUE"""),"It's difficult to use Jira lifecycle management tool because of its licence model.")</f>
        <v>It's difficult to use Jira lifecycle management tool because of its licence model.</v>
      </c>
      <c r="F74" s="10"/>
      <c r="G74" s="7" t="s">
        <v>8</v>
      </c>
      <c r="H74" s="7"/>
      <c r="I74" s="15" t="s">
        <v>8</v>
      </c>
      <c r="J74" s="15"/>
      <c r="K74" s="4" t="s">
        <v>25</v>
      </c>
      <c r="L74" s="4" t="s">
        <v>25</v>
      </c>
      <c r="M74" s="4"/>
      <c r="N74" s="4"/>
    </row>
    <row r="75">
      <c r="A75" s="5">
        <v>80.0</v>
      </c>
      <c r="B75" s="6" t="s">
        <v>27</v>
      </c>
      <c r="C75" s="6" t="s">
        <v>7</v>
      </c>
      <c r="D75" s="10" t="str">
        <f>IFERROR(__xludf.DUMMYFUNCTION("filter('Imported Challenges'!B:D,'Imported Challenges'!A:A=A75)"),"So one of the challenge from an environment point of view is to get something that students can relate to.")</f>
        <v>So one of the challenge from an environment point of view is to get something that students can relate to.</v>
      </c>
      <c r="E75" s="10" t="str">
        <f>IFERROR(__xludf.DUMMYFUNCTION("""COMPUTED_VALUE"""),"It's hard to find something students can relate to, from a environment point of view.")</f>
        <v>It's hard to find something students can relate to, from a environment point of view.</v>
      </c>
      <c r="F75" s="10"/>
      <c r="G75" s="7" t="s">
        <v>8</v>
      </c>
      <c r="H75" s="7"/>
      <c r="I75" s="15" t="s">
        <v>8</v>
      </c>
      <c r="J75" s="15"/>
      <c r="K75" s="4"/>
      <c r="L75" s="4"/>
      <c r="M75" s="4"/>
      <c r="N75" s="4"/>
    </row>
    <row r="76">
      <c r="A76" s="5">
        <v>81.0</v>
      </c>
      <c r="B76" s="6" t="s">
        <v>24</v>
      </c>
      <c r="C76" s="6" t="s">
        <v>7</v>
      </c>
      <c r="D76" s="10" t="str">
        <f>IFERROR(__xludf.DUMMYFUNCTION("filter('Imported Challenges'!B:D,'Imported Challenges'!A:A=A76)"),"We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E76" s="10" t="str">
        <f>IFERROR(__xludf.DUMMYFUNCTION("""COMPUTED_VALUE"""),"There is a lack between what the industry wants from students about DevOps and what the university teaches.")</f>
        <v>There is a lack between what the industry wants from students about DevOps and what the university teaches.</v>
      </c>
      <c r="F76" s="10"/>
      <c r="G76" s="7" t="s">
        <v>9</v>
      </c>
      <c r="H76" s="7"/>
      <c r="I76" s="15" t="s">
        <v>9</v>
      </c>
      <c r="J76" s="15"/>
      <c r="K76" s="4"/>
      <c r="L76" s="4"/>
      <c r="M76" s="4"/>
      <c r="N76" s="4"/>
    </row>
    <row r="77">
      <c r="A77" s="5">
        <v>82.0</v>
      </c>
      <c r="B77" s="6" t="s">
        <v>26</v>
      </c>
      <c r="C77" s="6" t="s">
        <v>7</v>
      </c>
      <c r="D77" s="10" t="str">
        <f>IFERROR(__xludf.DUMMYFUNCTION("filter('Imported Challenges'!B:D,'Imported Challenges'!A:A=A77)"),"It didn't work for some specific tools that they wanted to present using this a katacoda, uh, website.")</f>
        <v>It didn't work for some specific tools that they wanted to present using this a katacoda, uh, website.</v>
      </c>
      <c r="E77" s="10" t="str">
        <f>IFERROR(__xludf.DUMMYFUNCTION("""COMPUTED_VALUE"""),"Katacoda does not work for some specific tools.")</f>
        <v>Katacoda does not work for some specific tools.</v>
      </c>
      <c r="F77" s="10"/>
      <c r="G77" s="7" t="s">
        <v>8</v>
      </c>
      <c r="H77" s="7"/>
      <c r="I77" s="15" t="s">
        <v>8</v>
      </c>
      <c r="J77" s="15"/>
      <c r="K77" s="4" t="s">
        <v>25</v>
      </c>
      <c r="L77" s="4" t="s">
        <v>25</v>
      </c>
      <c r="M77" s="4"/>
      <c r="N77" s="4"/>
    </row>
    <row r="78">
      <c r="A78" s="5">
        <v>83.0</v>
      </c>
      <c r="B78" s="6" t="s">
        <v>27</v>
      </c>
      <c r="C78" s="6" t="s">
        <v>7</v>
      </c>
      <c r="D78" s="10" t="str">
        <f>IFERROR(__xludf.DUMMYFUNCTION("filter('Imported Challenges'!B:D,'Imported Challenges'!A:A=A78)"),"Since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E78" s="10"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F78" s="10"/>
      <c r="G78" s="7" t="s">
        <v>9</v>
      </c>
      <c r="H78" s="7"/>
      <c r="I78" s="15" t="s">
        <v>8</v>
      </c>
      <c r="J78" s="15"/>
      <c r="K78" s="4" t="s">
        <v>25</v>
      </c>
      <c r="L78" s="4"/>
      <c r="M78" s="4" t="s">
        <v>29</v>
      </c>
      <c r="N78" s="26" t="s">
        <v>30</v>
      </c>
    </row>
    <row r="79">
      <c r="A79" s="5">
        <v>84.0</v>
      </c>
      <c r="B79" s="6" t="s">
        <v>24</v>
      </c>
      <c r="C79" s="6" t="s">
        <v>7</v>
      </c>
      <c r="D79" s="10" t="str">
        <f>IFERROR(__xludf.DUMMYFUNCTION("filter('Imported Challenges'!B:D,'Imported Challenges'!A:A=A79)"),"It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E79" s="10"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F79" s="10"/>
      <c r="G79" s="7" t="s">
        <v>8</v>
      </c>
      <c r="H79" s="7"/>
      <c r="I79" s="15" t="s">
        <v>8</v>
      </c>
      <c r="J79" s="15"/>
      <c r="K79" s="4"/>
      <c r="L79" s="4"/>
      <c r="M79" s="4"/>
      <c r="N79" s="4"/>
    </row>
    <row r="80">
      <c r="A80" s="5">
        <v>85.0</v>
      </c>
      <c r="B80" s="6" t="s">
        <v>26</v>
      </c>
      <c r="C80" s="6" t="s">
        <v>7</v>
      </c>
      <c r="D80" s="10" t="str">
        <f>IFERROR(__xludf.DUMMYFUNCTION("filter('Imported Challenges'!B:D,'Imported Challenges'!A:A=A80)"),"How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E80" s="10" t="str">
        <f>IFERROR(__xludf.DUMMYFUNCTION("""COMPUTED_VALUE"""),"It is difficult to students understand how the pipeline deployment works and not just running it.")</f>
        <v>It is difficult to students understand how the pipeline deployment works and not just running it.</v>
      </c>
      <c r="F80" s="10"/>
      <c r="G80" s="7" t="s">
        <v>9</v>
      </c>
      <c r="H80" s="7"/>
      <c r="I80" s="15" t="s">
        <v>9</v>
      </c>
      <c r="J80" s="15"/>
      <c r="K80" s="4"/>
      <c r="L80" s="4"/>
      <c r="M80" s="4"/>
      <c r="N80" s="4"/>
    </row>
    <row r="81">
      <c r="A81" s="5">
        <v>86.0</v>
      </c>
      <c r="B81" s="6" t="s">
        <v>27</v>
      </c>
      <c r="C81" s="6" t="s">
        <v>7</v>
      </c>
      <c r="D81" s="10" t="str">
        <f>IFERROR(__xludf.DUMMYFUNCTION("filter('Imported Challenges'!B:D,'Imported Challenges'!A:A=A81)"),"We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E81" s="10"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F81" s="10" t="str">
        <f>IFERROR(__xludf.DUMMYFUNCTION("""COMPUTED_VALUE"""),"Debugging lab sessions are very difficult.")</f>
        <v>Debugging lab sessions are very difficult.</v>
      </c>
      <c r="G81" s="7" t="s">
        <v>9</v>
      </c>
      <c r="H81" s="7"/>
      <c r="I81" s="15" t="s">
        <v>8</v>
      </c>
      <c r="J81" s="15"/>
      <c r="K81" s="4" t="s">
        <v>25</v>
      </c>
      <c r="L81" s="4"/>
      <c r="M81" s="4" t="s">
        <v>28</v>
      </c>
      <c r="N81" s="26" t="s">
        <v>30</v>
      </c>
    </row>
    <row r="82">
      <c r="A82" s="5">
        <v>87.0</v>
      </c>
      <c r="B82" s="6" t="s">
        <v>24</v>
      </c>
      <c r="C82" s="6" t="s">
        <v>7</v>
      </c>
      <c r="D82" s="10" t="str">
        <f>IFERROR(__xludf.DUMMYFUNCTION("filter('Imported Challenges'!B:D,'Imported Challenges'!A:A=A82)"),"Your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E82" s="10" t="str">
        <f>IFERROR(__xludf.DUMMYFUNCTION("""COMPUTED_VALUE"""),"Bamboo continuous integration does not work with 120 students running pipeline at the same time.")</f>
        <v>Bamboo continuous integration does not work with 120 students running pipeline at the same time.</v>
      </c>
      <c r="F82" s="10"/>
      <c r="G82" s="7" t="s">
        <v>9</v>
      </c>
      <c r="H82" s="7"/>
      <c r="I82" s="15" t="s">
        <v>9</v>
      </c>
      <c r="J82" s="15"/>
      <c r="K82" s="4"/>
      <c r="L82" s="4"/>
      <c r="M82" s="4"/>
      <c r="N82" s="4"/>
    </row>
    <row r="83">
      <c r="A83" s="5">
        <v>88.0</v>
      </c>
      <c r="B83" s="6" t="s">
        <v>26</v>
      </c>
      <c r="C83" s="6" t="s">
        <v>7</v>
      </c>
      <c r="D83" s="10" t="str">
        <f>IFERROR(__xludf.DUMMYFUNCTION("filter('Imported Challenges'!B:D,'Imported Challenges'!A:A=A83)"),"He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E83" s="10" t="str">
        <f>IFERROR(__xludf.DUMMYFUNCTION("""COMPUTED_VALUE"""),"It is really difficult to quantitative grade scale on the description and the justification of case studies.")</f>
        <v>It is really difficult to quantitative grade scale on the description and the justification of case studies.</v>
      </c>
      <c r="F83" s="10"/>
      <c r="G83" s="7" t="s">
        <v>8</v>
      </c>
      <c r="H83" s="7"/>
      <c r="I83" s="15" t="s">
        <v>8</v>
      </c>
      <c r="J83" s="15"/>
      <c r="K83" s="4"/>
      <c r="L83" s="4"/>
      <c r="M83" s="4"/>
      <c r="N83" s="4"/>
    </row>
    <row r="84">
      <c r="A84" s="5">
        <v>90.0</v>
      </c>
      <c r="B84" s="6" t="s">
        <v>24</v>
      </c>
      <c r="C84" s="6" t="s">
        <v>7</v>
      </c>
      <c r="D84" s="10" t="str">
        <f>IFERROR(__xludf.DUMMYFUNCTION("filter('Imported Challenges'!B:D,'Imported Challenges'!A:A=A84)"),"Like,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E84" s="10" t="str">
        <f>IFERROR(__xludf.DUMMYFUNCTION("""COMPUTED_VALUE"""),"There is no consensus if DevOps course should be mandatory or optional.")</f>
        <v>There is no consensus if DevOps course should be mandatory or optional.</v>
      </c>
      <c r="F84" s="10"/>
      <c r="G84" s="7" t="s">
        <v>9</v>
      </c>
      <c r="H84" s="7"/>
      <c r="I84" s="15" t="s">
        <v>9</v>
      </c>
      <c r="J84" s="15"/>
      <c r="K84" s="4"/>
      <c r="L84" s="4"/>
      <c r="M84" s="4"/>
      <c r="N84" s="4"/>
    </row>
  </sheetData>
  <conditionalFormatting sqref="H2:H19">
    <cfRule type="notContainsBlanks" dxfId="0" priority="1">
      <formula>LEN(TRIM(H2))&gt;0</formula>
    </cfRule>
  </conditionalFormatting>
  <dataValidations>
    <dataValidation type="list" allowBlank="1" sqref="M2:M84">
      <formula1>"first,second"</formula1>
    </dataValidation>
    <dataValidation type="list" allowBlank="1" sqref="G2:G84 I2:I84">
      <formula1>"yes,no"</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71"/>
    <col customWidth="1" min="2" max="2" width="8.86"/>
    <col customWidth="1" min="3" max="3" width="23.57"/>
    <col customWidth="1" min="4" max="4" width="81.29"/>
    <col customWidth="1" min="5" max="5" width="49.0"/>
    <col customWidth="1" min="6" max="6" width="23.57"/>
    <col customWidth="1" min="7" max="7" width="28.71"/>
  </cols>
  <sheetData>
    <row r="1">
      <c r="A1" s="1" t="s">
        <v>0</v>
      </c>
      <c r="B1" s="1" t="s">
        <v>15</v>
      </c>
      <c r="C1" s="1" t="s">
        <v>1</v>
      </c>
      <c r="D1" s="13" t="s">
        <v>2</v>
      </c>
      <c r="E1" s="13" t="s">
        <v>3</v>
      </c>
      <c r="F1" s="13" t="s">
        <v>4</v>
      </c>
      <c r="G1" s="4" t="s">
        <v>5</v>
      </c>
    </row>
    <row r="2">
      <c r="A2" s="27">
        <f>IFERROR(__xludf.DUMMYFUNCTION("filter('Challenge Specifics-Check'!A2:F84, 'Challenge Specifics-Check'!A2:A84&lt;&gt;"""")"),1.0)</f>
        <v>1</v>
      </c>
      <c r="B2" s="27" t="str">
        <f>IFERROR(__xludf.DUMMYFUNCTION("""COMPUTED_VALUE"""),"R1 / R3")</f>
        <v>R1 / R3</v>
      </c>
      <c r="C2" s="27" t="str">
        <f>IFERROR(__xludf.DUMMYFUNCTION("""COMPUTED_VALUE"""),"challenge")</f>
        <v>challenge</v>
      </c>
      <c r="D2" s="27" t="str">
        <f>IFERROR(__xludf.DUMMYFUNCTION("""COMPUTED_VALUE"""),"A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E2" s="27"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F2" s="27" t="str">
        <f>IFERROR(__xludf.DUMMYFUNCTION("""COMPUTED_VALUE"""),"Insufficient knowledge level of students to start the course.")</f>
        <v>Insufficient knowledge level of students to start the course.</v>
      </c>
      <c r="G2" s="7" t="str">
        <f>if(DDivergenciasJuiz = "first",DDivergenciasEspecifico1,if (DDivergenciasJuiz = "second",DDivergenciasEspecifico2, if (DDivergenciasEspecifico1 = "", DDivergenciasEspecifico2, DDivergenciasEspecifico1)))</f>
        <v>no</v>
      </c>
    </row>
    <row r="3">
      <c r="A3" s="27">
        <f>IFERROR(__xludf.DUMMYFUNCTION("""COMPUTED_VALUE"""),2.0)</f>
        <v>2</v>
      </c>
      <c r="B3" s="27" t="str">
        <f>IFERROR(__xludf.DUMMYFUNCTION("""COMPUTED_VALUE"""),"R1 / R3")</f>
        <v>R1 / R3</v>
      </c>
      <c r="C3" s="27" t="str">
        <f>IFERROR(__xludf.DUMMYFUNCTION("""COMPUTED_VALUE"""),"challenge")</f>
        <v>challenge</v>
      </c>
      <c r="D3" s="27" t="str">
        <f>IFERROR(__xludf.DUMMYFUNCTION("""COMPUTED_VALUE"""),"To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E3" s="27"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F3" s="27" t="str">
        <f>IFERROR(__xludf.DUMMYFUNCTION("""COMPUTED_VALUE"""),"Setting up the infrastructure is difficulty.")</f>
        <v>Setting up the infrastructure is difficulty.</v>
      </c>
      <c r="G3" s="7" t="str">
        <f>if(DDivergenciasJuiz = "first",DDivergenciasEspecifico1,if (DDivergenciasJuiz = "second",DDivergenciasEspecifico2, if (DDivergenciasEspecifico1 = "", DDivergenciasEspecifico2, DDivergenciasEspecifico1)))</f>
        <v>yes</v>
      </c>
    </row>
    <row r="4">
      <c r="A4" s="27">
        <f>IFERROR(__xludf.DUMMYFUNCTION("""COMPUTED_VALUE"""),3.0)</f>
        <v>3</v>
      </c>
      <c r="B4" s="27" t="str">
        <f>IFERROR(__xludf.DUMMYFUNCTION("""COMPUTED_VALUE"""),"R1 / R3")</f>
        <v>R1 / R3</v>
      </c>
      <c r="C4" s="27" t="str">
        <f>IFERROR(__xludf.DUMMYFUNCTION("""COMPUTED_VALUE"""),"challenge")</f>
        <v>challenge</v>
      </c>
      <c r="D4" s="27" t="str">
        <f>IFERROR(__xludf.DUMMYFUNCTION("""COMPUTED_VALUE"""),"In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E4" s="27"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F4" s="27" t="str">
        <f>IFERROR(__xludf.DUMMYFUNCTION("""COMPUTED_VALUE"""),"Limited computional resources.")</f>
        <v>Limited computional resources.</v>
      </c>
      <c r="G4" s="7" t="str">
        <f>if(DDivergenciasJuiz = "first",DDivergenciasEspecifico1,if (DDivergenciasJuiz = "second",DDivergenciasEspecifico2, if (DDivergenciasEspecifico1 = "", DDivergenciasEspecifico2, DDivergenciasEspecifico1)))</f>
        <v>no</v>
      </c>
    </row>
    <row r="5">
      <c r="A5" s="27">
        <f>IFERROR(__xludf.DUMMYFUNCTION("""COMPUTED_VALUE"""),4.0)</f>
        <v>4</v>
      </c>
      <c r="B5" s="27" t="str">
        <f>IFERROR(__xludf.DUMMYFUNCTION("""COMPUTED_VALUE"""),"R1 / R3")</f>
        <v>R1 / R3</v>
      </c>
      <c r="C5" s="27" t="str">
        <f>IFERROR(__xludf.DUMMYFUNCTION("""COMPUTED_VALUE"""),"challenge")</f>
        <v>challenge</v>
      </c>
      <c r="D5" s="27" t="str">
        <f>IFERROR(__xludf.DUMMYFUNCTION("""COMPUTED_VALUE"""),"Some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E5" s="27"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F5" s="27" t="str">
        <f>IFERROR(__xludf.DUMMYFUNCTION("""COMPUTED_VALUE"""),"Cloud providers usage has limits.")</f>
        <v>Cloud providers usage has limits.</v>
      </c>
      <c r="G5" s="7" t="str">
        <f>if(DDivergenciasJuiz = "first",DDivergenciasEspecifico1,if (DDivergenciasJuiz = "second",DDivergenciasEspecifico2, if (DDivergenciasEspecifico1 = "", DDivergenciasEspecifico2, DDivergenciasEspecifico1)))</f>
        <v>no</v>
      </c>
    </row>
    <row r="6">
      <c r="A6" s="27">
        <f>IFERROR(__xludf.DUMMYFUNCTION("""COMPUTED_VALUE"""),6.0)</f>
        <v>6</v>
      </c>
      <c r="B6" s="27" t="str">
        <f>IFERROR(__xludf.DUMMYFUNCTION("""COMPUTED_VALUE"""),"R1 / R3")</f>
        <v>R1 / R3</v>
      </c>
      <c r="C6" s="27" t="str">
        <f>IFERROR(__xludf.DUMMYFUNCTION("""COMPUTED_VALUE"""),"challenge")</f>
        <v>challenge</v>
      </c>
      <c r="D6" s="27" t="str">
        <f>IFERROR(__xludf.DUMMYFUNCTION("""COMPUTED_VALUE"""),"There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E6" s="27"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F6" s="27" t="str">
        <f>IFERROR(__xludf.DUMMYFUNCTION("""COMPUTED_VALUE"""),"There is no convention about DevOps concepts.")</f>
        <v>There is no convention about DevOps concepts.</v>
      </c>
      <c r="G6" s="7" t="str">
        <f>if(DDivergenciasJuiz = "first",DDivergenciasEspecifico1,if (DDivergenciasJuiz = "second",DDivergenciasEspecifico2, if (DDivergenciasEspecifico1 = "", DDivergenciasEspecifico2, DDivergenciasEspecifico1)))</f>
        <v>yes</v>
      </c>
    </row>
    <row r="7">
      <c r="A7" s="27">
        <f>IFERROR(__xludf.DUMMYFUNCTION("""COMPUTED_VALUE"""),7.0)</f>
        <v>7</v>
      </c>
      <c r="B7" s="27" t="str">
        <f>IFERROR(__xludf.DUMMYFUNCTION("""COMPUTED_VALUE"""),"R1 / R3")</f>
        <v>R1 / R3</v>
      </c>
      <c r="C7" s="27" t="str">
        <f>IFERROR(__xludf.DUMMYFUNCTION("""COMPUTED_VALUE"""),"challenge")</f>
        <v>challenge</v>
      </c>
      <c r="D7" s="27" t="str">
        <f>IFERROR(__xludf.DUMMYFUNCTION("""COMPUTED_VALUE"""),"I don't know any specific teaching devops tool.")</f>
        <v>I don't know any specific teaching devops tool.</v>
      </c>
      <c r="E7" s="27" t="str">
        <f>IFERROR(__xludf.DUMMYFUNCTION("""COMPUTED_VALUE"""),"Unknown specific devops educational supportive environment.")</f>
        <v>Unknown specific devops educational supportive environment.</v>
      </c>
      <c r="F7" s="27"/>
      <c r="G7" s="7" t="str">
        <f>if(DDivergenciasJuiz = "first",DDivergenciasEspecifico1,if (DDivergenciasJuiz = "second",DDivergenciasEspecifico2, if (DDivergenciasEspecifico1 = "", DDivergenciasEspecifico2, DDivergenciasEspecifico1)))</f>
        <v>yes</v>
      </c>
    </row>
    <row r="8">
      <c r="A8" s="27">
        <f>IFERROR(__xludf.DUMMYFUNCTION("""COMPUTED_VALUE"""),8.0)</f>
        <v>8</v>
      </c>
      <c r="B8" s="27" t="str">
        <f>IFERROR(__xludf.DUMMYFUNCTION("""COMPUTED_VALUE"""),"R1 / R3")</f>
        <v>R1 / R3</v>
      </c>
      <c r="C8" s="27" t="str">
        <f>IFERROR(__xludf.DUMMYFUNCTION("""COMPUTED_VALUE"""),"challenge")</f>
        <v>challenge</v>
      </c>
      <c r="D8" s="27" t="str">
        <f>IFERROR(__xludf.DUMMYFUNCTION("""COMPUTED_VALUE"""),"We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E8" s="27"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F8" s="27" t="str">
        <f>IFERROR(__xludf.DUMMYFUNCTION("""COMPUTED_VALUE"""),"Insufficient time in the course to teach DevOps.")</f>
        <v>Insufficient time in the course to teach DevOps.</v>
      </c>
      <c r="G8" s="7" t="str">
        <f>if(DDivergenciasJuiz = "first",DDivergenciasEspecifico1,if (DDivergenciasJuiz = "second",DDivergenciasEspecifico2, if (DDivergenciasEspecifico1 = "", DDivergenciasEspecifico2, DDivergenciasEspecifico1)))</f>
        <v>yes</v>
      </c>
    </row>
    <row r="9">
      <c r="A9" s="27">
        <f>IFERROR(__xludf.DUMMYFUNCTION("""COMPUTED_VALUE"""),9.0)</f>
        <v>9</v>
      </c>
      <c r="B9" s="27" t="str">
        <f>IFERROR(__xludf.DUMMYFUNCTION("""COMPUTED_VALUE"""),"R1 / R3")</f>
        <v>R1 / R3</v>
      </c>
      <c r="C9" s="27" t="str">
        <f>IFERROR(__xludf.DUMMYFUNCTION("""COMPUTED_VALUE"""),"challenge")</f>
        <v>challenge</v>
      </c>
      <c r="D9" s="27" t="str">
        <f>IFERROR(__xludf.DUMMYFUNCTION("""COMPUTED_VALUE"""),"[...]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E9" s="27"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F9" s="27" t="str">
        <f>IFERROR(__xludf.DUMMYFUNCTION("""COMPUTED_VALUE"""),"Institutions' resources have limits.")</f>
        <v>Institutions' resources have limits.</v>
      </c>
      <c r="G9" s="7" t="str">
        <f>if(DDivergenciasJuiz = "first",DDivergenciasEspecifico1,if (DDivergenciasJuiz = "second",DDivergenciasEspecifico2, if (DDivergenciasEspecifico1 = "", DDivergenciasEspecifico2, DDivergenciasEspecifico1)))</f>
        <v>yes</v>
      </c>
    </row>
    <row r="10">
      <c r="A10" s="27">
        <f>IFERROR(__xludf.DUMMYFUNCTION("""COMPUTED_VALUE"""),10.0)</f>
        <v>10</v>
      </c>
      <c r="B10" s="27" t="str">
        <f>IFERROR(__xludf.DUMMYFUNCTION("""COMPUTED_VALUE"""),"R1 / R3")</f>
        <v>R1 / R3</v>
      </c>
      <c r="C10" s="27" t="str">
        <f>IFERROR(__xludf.DUMMYFUNCTION("""COMPUTED_VALUE"""),"challenge")</f>
        <v>challenge</v>
      </c>
      <c r="D10" s="27" t="str">
        <f>IFERROR(__xludf.DUMMYFUNCTION("""COMPUTED_VALUE"""),"
There wasn't a tool to configure the environment [...] or to automate these environments then [..] since it became manual.")</f>
        <v>
There wasn't a tool to configure the environment [...] or to automate these environments then [..] since it became manual.</v>
      </c>
      <c r="E10" s="27" t="str">
        <f>IFERROR(__xludf.DUMMYFUNCTION("""COMPUTED_VALUE"""),"There was no automated environment setup tool to support the student.")</f>
        <v>There was no automated environment setup tool to support the student.</v>
      </c>
      <c r="F10" s="27"/>
      <c r="G10" s="7" t="str">
        <f>if(DDivergenciasJuiz = "first",DDivergenciasEspecifico1,if (DDivergenciasJuiz = "second",DDivergenciasEspecifico2, if (DDivergenciasEspecifico1 = "", DDivergenciasEspecifico2, DDivergenciasEspecifico1)))</f>
        <v>yes</v>
      </c>
    </row>
    <row r="11">
      <c r="A11" s="27">
        <f>IFERROR(__xludf.DUMMYFUNCTION("""COMPUTED_VALUE"""),11.0)</f>
        <v>11</v>
      </c>
      <c r="B11" s="27" t="str">
        <f>IFERROR(__xludf.DUMMYFUNCTION("""COMPUTED_VALUE"""),"R1 / R3")</f>
        <v>R1 / R3</v>
      </c>
      <c r="C11" s="27" t="str">
        <f>IFERROR(__xludf.DUMMYFUNCTION("""COMPUTED_VALUE"""),"challenge")</f>
        <v>challenge</v>
      </c>
      <c r="D11" s="27" t="str">
        <f>IFERROR(__xludf.DUMMYFUNCTION("""COMPUTED_VALUE"""),"There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E11" s="27" t="str">
        <f>IFERROR(__xludf.DUMMYFUNCTION("""COMPUTED_VALUE"""),"There was no script for the student on how to install the tools used during the course.")</f>
        <v>There was no script for the student on how to install the tools used during the course.</v>
      </c>
      <c r="F11" s="27"/>
      <c r="G11" s="7" t="str">
        <f>if(DDivergenciasJuiz = "first",DDivergenciasEspecifico1,if (DDivergenciasJuiz = "second",DDivergenciasEspecifico2, if (DDivergenciasEspecifico1 = "", DDivergenciasEspecifico2, DDivergenciasEspecifico1)))</f>
        <v>yes</v>
      </c>
    </row>
    <row r="12">
      <c r="A12" s="27">
        <f>IFERROR(__xludf.DUMMYFUNCTION("""COMPUTED_VALUE"""),12.0)</f>
        <v>12</v>
      </c>
      <c r="B12" s="27" t="str">
        <f>IFERROR(__xludf.DUMMYFUNCTION("""COMPUTED_VALUE"""),"R1 / R3")</f>
        <v>R1 / R3</v>
      </c>
      <c r="C12" s="27" t="str">
        <f>IFERROR(__xludf.DUMMYFUNCTION("""COMPUTED_VALUE"""),"challenge")</f>
        <v>challenge</v>
      </c>
      <c r="D12" s="27" t="str">
        <f>IFERROR(__xludf.DUMMYFUNCTION("""COMPUTED_VALUE"""),"There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E12" s="27"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F12" s="27" t="str">
        <f>IFERROR(__xludf.DUMMYFUNCTION("""COMPUTED_VALUE"""),"Insufficient literature related to teach DevOps.")</f>
        <v>Insufficient literature related to teach DevOps.</v>
      </c>
      <c r="G12" s="7" t="str">
        <f>if(DDivergenciasJuiz = "first",DDivergenciasEspecifico1,if (DDivergenciasJuiz = "second",DDivergenciasEspecifico2, if (DDivergenciasEspecifico1 = "", DDivergenciasEspecifico2, DDivergenciasEspecifico1)))</f>
        <v>yes</v>
      </c>
    </row>
    <row r="13">
      <c r="A13" s="27">
        <f>IFERROR(__xludf.DUMMYFUNCTION("""COMPUTED_VALUE"""),13.0)</f>
        <v>13</v>
      </c>
      <c r="B13" s="27" t="str">
        <f>IFERROR(__xludf.DUMMYFUNCTION("""COMPUTED_VALUE"""),"R1 / R3")</f>
        <v>R1 / R3</v>
      </c>
      <c r="C13" s="27" t="str">
        <f>IFERROR(__xludf.DUMMYFUNCTION("""COMPUTED_VALUE"""),"challenge")</f>
        <v>challenge</v>
      </c>
      <c r="D13" s="27" t="str">
        <f>IFERROR(__xludf.DUMMYFUNCTION("""COMPUTED_VALUE"""),"Once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E13" s="27"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F13" s="27" t="str">
        <f>IFERROR(__xludf.DUMMYFUNCTION("""COMPUTED_VALUE"""),"Difficulty in making clear to students the importance of having a more realistic perspective of production.")</f>
        <v>Difficulty in making clear to students the importance of having a more realistic perspective of production.</v>
      </c>
      <c r="G13" s="7" t="str">
        <f>if(DDivergenciasJuiz = "first",DDivergenciasEspecifico1,if (DDivergenciasJuiz = "second",DDivergenciasEspecifico2, if (DDivergenciasEspecifico1 = "", DDivergenciasEspecifico2, DDivergenciasEspecifico1)))</f>
        <v>yes</v>
      </c>
    </row>
    <row r="14">
      <c r="A14" s="27">
        <f>IFERROR(__xludf.DUMMYFUNCTION("""COMPUTED_VALUE"""),14.0)</f>
        <v>14</v>
      </c>
      <c r="B14" s="27" t="str">
        <f>IFERROR(__xludf.DUMMYFUNCTION("""COMPUTED_VALUE"""),"R1 / R3")</f>
        <v>R1 / R3</v>
      </c>
      <c r="C14" s="27" t="str">
        <f>IFERROR(__xludf.DUMMYFUNCTION("""COMPUTED_VALUE"""),"challenge")</f>
        <v>challenge</v>
      </c>
      <c r="D14" s="27" t="str">
        <f>IFERROR(__xludf.DUMMYFUNCTION("""COMPUTED_VALUE"""),"The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E14" s="27"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F14" s="27"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G14" s="7" t="str">
        <f>if(DDivergenciasJuiz = "first",DDivergenciasEspecifico1,if (DDivergenciasJuiz = "second",DDivergenciasEspecifico2, if (DDivergenciasEspecifico1 = "", DDivergenciasEspecifico2, DDivergenciasEspecifico1)))</f>
        <v>yes</v>
      </c>
    </row>
    <row r="15">
      <c r="A15" s="27">
        <f>IFERROR(__xludf.DUMMYFUNCTION("""COMPUTED_VALUE"""),15.0)</f>
        <v>15</v>
      </c>
      <c r="B15" s="27" t="str">
        <f>IFERROR(__xludf.DUMMYFUNCTION("""COMPUTED_VALUE"""),"R1 / R3")</f>
        <v>R1 / R3</v>
      </c>
      <c r="C15" s="27" t="str">
        <f>IFERROR(__xludf.DUMMYFUNCTION("""COMPUTED_VALUE"""),"challenge")</f>
        <v>challenge</v>
      </c>
      <c r="D15" s="27" t="str">
        <f>IFERROR(__xludf.DUMMYFUNCTION("""COMPUTED_VALUE"""),"How can we see if the student is aware of the concept of continuous delivery, which is one of the concepts we address?")</f>
        <v>How can we see if the student is aware of the concept of continuous delivery, which is one of the concepts we address?</v>
      </c>
      <c r="E15" s="27" t="str">
        <f>IFERROR(__xludf.DUMMYFUNCTION("""COMPUTED_VALUE"""),"Difficulty in assessing students' understanding of Continuous Delivery.")</f>
        <v>Difficulty in assessing students' understanding of Continuous Delivery.</v>
      </c>
      <c r="F15" s="27"/>
      <c r="G15" s="7" t="str">
        <f>if(DDivergenciasJuiz = "first",DDivergenciasEspecifico1,if (DDivergenciasJuiz = "second",DDivergenciasEspecifico2, if (DDivergenciasEspecifico1 = "", DDivergenciasEspecifico2, DDivergenciasEspecifico1)))</f>
        <v>yes</v>
      </c>
    </row>
    <row r="16">
      <c r="A16" s="27">
        <f>IFERROR(__xludf.DUMMYFUNCTION("""COMPUTED_VALUE"""),16.0)</f>
        <v>16</v>
      </c>
      <c r="B16" s="27" t="str">
        <f>IFERROR(__xludf.DUMMYFUNCTION("""COMPUTED_VALUE"""),"R2 / R3")</f>
        <v>R2 / R3</v>
      </c>
      <c r="C16" s="27" t="str">
        <f>IFERROR(__xludf.DUMMYFUNCTION("""COMPUTED_VALUE"""),"challenge")</f>
        <v>challenge</v>
      </c>
      <c r="D16" s="27" t="str">
        <f>IFERROR(__xludf.DUMMYFUNCTION("""COMPUTED_VALUE"""),"It's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E16" s="27"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F16" s="27" t="str">
        <f>IFERROR(__xludf.DUMMYFUNCTION("""COMPUTED_VALUE"""),"The process of making students migrate to other tools it's hard.")</f>
        <v>The process of making students migrate to other tools it's hard.</v>
      </c>
      <c r="G16" s="7" t="str">
        <f>if(DDivergenciasJuiz = "first",DDivergenciasEspecifico1,if (DDivergenciasJuiz = "second",DDivergenciasEspecifico2, if (DDivergenciasEspecifico1 = "", DDivergenciasEspecifico2, DDivergenciasEspecifico1)))</f>
        <v>yes</v>
      </c>
    </row>
    <row r="17">
      <c r="A17" s="27">
        <f>IFERROR(__xludf.DUMMYFUNCTION("""COMPUTED_VALUE"""),17.0)</f>
        <v>17</v>
      </c>
      <c r="B17" s="27" t="str">
        <f>IFERROR(__xludf.DUMMYFUNCTION("""COMPUTED_VALUE"""),"R1 / R3")</f>
        <v>R1 / R3</v>
      </c>
      <c r="C17" s="27" t="str">
        <f>IFERROR(__xludf.DUMMYFUNCTION("""COMPUTED_VALUE"""),"challenge")</f>
        <v>challenge</v>
      </c>
      <c r="D17" s="27" t="str">
        <f>IFERROR(__xludf.DUMMYFUNCTION("""COMPUTED_VALUE"""),"the docker, [...] to use, they usually have a greater difficulty in this theme, in the beginning.")</f>
        <v>the docker, [...] to use, they usually have a greater difficulty in this theme, in the beginning.</v>
      </c>
      <c r="E17" s="27" t="str">
        <f>IFERROR(__xludf.DUMMYFUNCTION("""COMPUTED_VALUE"""),"Initial difficulty using the Docker container tool.")</f>
        <v>Initial difficulty using the Docker container tool.</v>
      </c>
      <c r="F17" s="27"/>
      <c r="G17" s="7" t="str">
        <f>if(DDivergenciasJuiz = "first",DDivergenciasEspecifico1,if (DDivergenciasJuiz = "second",DDivergenciasEspecifico2, if (DDivergenciasEspecifico1 = "", DDivergenciasEspecifico2, DDivergenciasEspecifico1)))</f>
        <v>yes</v>
      </c>
    </row>
    <row r="18">
      <c r="A18" s="27">
        <f>IFERROR(__xludf.DUMMYFUNCTION("""COMPUTED_VALUE"""),19.0)</f>
        <v>19</v>
      </c>
      <c r="B18" s="27" t="str">
        <f>IFERROR(__xludf.DUMMYFUNCTION("""COMPUTED_VALUE"""),"R1 / R2")</f>
        <v>R1 / R2</v>
      </c>
      <c r="C18" s="27" t="str">
        <f>IFERROR(__xludf.DUMMYFUNCTION("""COMPUTED_VALUE"""),"challenge")</f>
        <v>challenge</v>
      </c>
      <c r="D18" s="27" t="str">
        <f>IFERROR(__xludf.DUMMYFUNCTION("""COMPUTED_VALUE"""),"A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E18" s="27" t="str">
        <f>IFERROR(__xludf.DUMMYFUNCTION("""COMPUTED_VALUE"""),"The student has difficulty realizing the importance of setting the environment.")</f>
        <v>The student has difficulty realizing the importance of setting the environment.</v>
      </c>
      <c r="F18" s="27"/>
      <c r="G18" s="7" t="str">
        <f>if(DDivergenciasJuiz = "first",DDivergenciasEspecifico1,if (DDivergenciasJuiz = "second",DDivergenciasEspecifico2, if (DDivergenciasEspecifico1 = "", DDivergenciasEspecifico2, DDivergenciasEspecifico1)))</f>
        <v>yes</v>
      </c>
    </row>
    <row r="19">
      <c r="A19" s="27">
        <f>IFERROR(__xludf.DUMMYFUNCTION("""COMPUTED_VALUE"""),22.0)</f>
        <v>22</v>
      </c>
      <c r="B19" s="27" t="str">
        <f>IFERROR(__xludf.DUMMYFUNCTION("""COMPUTED_VALUE"""),"R1 / R2")</f>
        <v>R1 / R2</v>
      </c>
      <c r="C19" s="27" t="str">
        <f>IFERROR(__xludf.DUMMYFUNCTION("""COMPUTED_VALUE"""),"challenge")</f>
        <v>challenge</v>
      </c>
      <c r="D19" s="27" t="str">
        <f>IFERROR(__xludf.DUMMYFUNCTION("""COMPUTED_VALUE"""),"The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E19" s="27"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F19" s="27" t="str">
        <f>IFERROR(__xludf.DUMMYFUNCTION("""COMPUTED_VALUE"""),"There is a large number of DevOps tools.")</f>
        <v>There is a large number of DevOps tools.</v>
      </c>
      <c r="G19" s="7" t="str">
        <f>if(DDivergenciasJuiz = "first",DDivergenciasEspecifico1,if (DDivergenciasJuiz = "second",DDivergenciasEspecifico2, if (DDivergenciasEspecifico1 = "", DDivergenciasEspecifico2, DDivergenciasEspecifico1)))</f>
        <v>yes</v>
      </c>
    </row>
    <row r="20">
      <c r="A20" s="27">
        <f>IFERROR(__xludf.DUMMYFUNCTION("""COMPUTED_VALUE"""),25.0)</f>
        <v>25</v>
      </c>
      <c r="B20" s="27" t="str">
        <f>IFERROR(__xludf.DUMMYFUNCTION("""COMPUTED_VALUE"""),"R1 / R3")</f>
        <v>R1 / R3</v>
      </c>
      <c r="C20" s="27" t="str">
        <f>IFERROR(__xludf.DUMMYFUNCTION("""COMPUTED_VALUE"""),"challenge")</f>
        <v>challenge</v>
      </c>
      <c r="D20" s="27" t="str">
        <f>IFERROR(__xludf.DUMMYFUNCTION("""COMPUTED_VALUE"""),"The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E20" s="27"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F20" s="27" t="str">
        <f>IFERROR(__xludf.DUMMYFUNCTION("""COMPUTED_VALUE"""),"DevOps culture is hard to teach. ")</f>
        <v>DevOps culture is hard to teach. </v>
      </c>
      <c r="G20" s="7" t="str">
        <f>if(DDivergenciasJuiz = "first",DDivergenciasEspecifico1,if (DDivergenciasJuiz = "second",DDivergenciasEspecifico2, if (DDivergenciasEspecifico1 = "", DDivergenciasEspecifico2, DDivergenciasEspecifico1)))</f>
        <v>yes</v>
      </c>
    </row>
    <row r="21">
      <c r="A21" s="27">
        <f>IFERROR(__xludf.DUMMYFUNCTION("""COMPUTED_VALUE"""),26.0)</f>
        <v>26</v>
      </c>
      <c r="B21" s="27" t="str">
        <f>IFERROR(__xludf.DUMMYFUNCTION("""COMPUTED_VALUE"""),"R2 / R3")</f>
        <v>R2 / R3</v>
      </c>
      <c r="C21" s="27" t="str">
        <f>IFERROR(__xludf.DUMMYFUNCTION("""COMPUTED_VALUE"""),"challenge")</f>
        <v>challenge</v>
      </c>
      <c r="D21" s="27" t="str">
        <f>IFERROR(__xludf.DUMMYFUNCTION("""COMPUTED_VALUE"""),"The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E21" s="27"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F21" s="27" t="str">
        <f>IFERROR(__xludf.DUMMYFUNCTION("""COMPUTED_VALUE"""),"It's hard to show to students that DevOps is not all about tooling.")</f>
        <v>It's hard to show to students that DevOps is not all about tooling.</v>
      </c>
      <c r="G21" s="7" t="str">
        <f>if(DDivergenciasJuiz = "first",DDivergenciasEspecifico1,if (DDivergenciasJuiz = "second",DDivergenciasEspecifico2, if (DDivergenciasEspecifico1 = "", DDivergenciasEspecifico2, DDivergenciasEspecifico1)))</f>
        <v>yes</v>
      </c>
    </row>
    <row r="22">
      <c r="A22" s="27">
        <f>IFERROR(__xludf.DUMMYFUNCTION("""COMPUTED_VALUE"""),28.0)</f>
        <v>28</v>
      </c>
      <c r="B22" s="27" t="str">
        <f>IFERROR(__xludf.DUMMYFUNCTION("""COMPUTED_VALUE"""),"R1 / R3")</f>
        <v>R1 / R3</v>
      </c>
      <c r="C22" s="27" t="str">
        <f>IFERROR(__xludf.DUMMYFUNCTION("""COMPUTED_VALUE"""),"challenge")</f>
        <v>challenge</v>
      </c>
      <c r="D22" s="27" t="str">
        <f>IFERROR(__xludf.DUMMYFUNCTION("""COMPUTED_VALUE"""),"[...]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E22" s="27" t="str">
        <f>IFERROR(__xludf.DUMMYFUNCTION("""COMPUTED_VALUE"""),"Difficulty dealing with assessments based on a traditional test model.")</f>
        <v>Difficulty dealing with assessments based on a traditional test model.</v>
      </c>
      <c r="F22" s="27"/>
      <c r="G22" s="7" t="str">
        <f>if(DDivergenciasJuiz = "first",DDivergenciasEspecifico1,if (DDivergenciasJuiz = "second",DDivergenciasEspecifico2, if (DDivergenciasEspecifico1 = "", DDivergenciasEspecifico2, DDivergenciasEspecifico1)))</f>
        <v>yes</v>
      </c>
    </row>
    <row r="23">
      <c r="A23" s="27">
        <f>IFERROR(__xludf.DUMMYFUNCTION("""COMPUTED_VALUE"""),29.0)</f>
        <v>29</v>
      </c>
      <c r="B23" s="27" t="str">
        <f>IFERROR(__xludf.DUMMYFUNCTION("""COMPUTED_VALUE"""),"R2 / R3")</f>
        <v>R2 / R3</v>
      </c>
      <c r="C23" s="27" t="str">
        <f>IFERROR(__xludf.DUMMYFUNCTION("""COMPUTED_VALUE"""),"challenge")</f>
        <v>challenge</v>
      </c>
      <c r="D23" s="27" t="str">
        <f>IFERROR(__xludf.DUMMYFUNCTION("""COMPUTED_VALUE"""),"The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E23" s="27"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F23" s="27" t="str">
        <f>IFERROR(__xludf.DUMMYFUNCTION("""COMPUTED_VALUE"""),"The multidiscuplinary of DevOps is hard to deal with.")</f>
        <v>The multidiscuplinary of DevOps is hard to deal with.</v>
      </c>
      <c r="G23" s="7" t="str">
        <f>if(DDivergenciasJuiz = "first",DDivergenciasEspecifico1,if (DDivergenciasJuiz = "second",DDivergenciasEspecifico2, if (DDivergenciasEspecifico1 = "", DDivergenciasEspecifico2, DDivergenciasEspecifico1)))</f>
        <v>yes</v>
      </c>
    </row>
    <row r="24">
      <c r="A24" s="27">
        <f>IFERROR(__xludf.DUMMYFUNCTION("""COMPUTED_VALUE"""),30.0)</f>
        <v>30</v>
      </c>
      <c r="B24" s="27" t="str">
        <f>IFERROR(__xludf.DUMMYFUNCTION("""COMPUTED_VALUE"""),"R1 / R2")</f>
        <v>R1 / R2</v>
      </c>
      <c r="C24" s="27" t="str">
        <f>IFERROR(__xludf.DUMMYFUNCTION("""COMPUTED_VALUE"""),"challenge")</f>
        <v>challenge</v>
      </c>
      <c r="D24" s="27" t="str">
        <f>IFERROR(__xludf.DUMMYFUNCTION("""COMPUTED_VALUE"""),"If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E24" s="27"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F24" s="27" t="str">
        <f>IFERROR(__xludf.DUMMYFUNCTION("""COMPUTED_VALUE"""),"Teach DevOps concepts to students no industrial experience is hard.")</f>
        <v>Teach DevOps concepts to students no industrial experience is hard.</v>
      </c>
      <c r="G24" s="7" t="str">
        <f>if(DDivergenciasJuiz = "first",DDivergenciasEspecifico1,if (DDivergenciasJuiz = "second",DDivergenciasEspecifico2, if (DDivergenciasEspecifico1 = "", DDivergenciasEspecifico2, DDivergenciasEspecifico1)))</f>
        <v>yes</v>
      </c>
    </row>
    <row r="25">
      <c r="A25" s="27">
        <f>IFERROR(__xludf.DUMMYFUNCTION("""COMPUTED_VALUE"""),31.0)</f>
        <v>31</v>
      </c>
      <c r="B25" s="27" t="str">
        <f>IFERROR(__xludf.DUMMYFUNCTION("""COMPUTED_VALUE"""),"R1 / R3")</f>
        <v>R1 / R3</v>
      </c>
      <c r="C25" s="27" t="str">
        <f>IFERROR(__xludf.DUMMYFUNCTION("""COMPUTED_VALUE"""),"challenge")</f>
        <v>challenge</v>
      </c>
      <c r="D25" s="27" t="str">
        <f>IFERROR(__xludf.DUMMYFUNCTION("""COMPUTED_VALUE"""),"DevSecOps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E25" s="27"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F25" s="27" t="str">
        <f>IFERROR(__xludf.DUMMYFUNCTION("""COMPUTED_VALUE"""),"Skills to teach DevOps are challeging.")</f>
        <v>Skills to teach DevOps are challeging.</v>
      </c>
      <c r="G25" s="7" t="str">
        <f>if(DDivergenciasJuiz = "first",DDivergenciasEspecifico1,if (DDivergenciasJuiz = "second",DDivergenciasEspecifico2, if (DDivergenciasEspecifico1 = "", DDivergenciasEspecifico2, DDivergenciasEspecifico1)))</f>
        <v>yes</v>
      </c>
    </row>
    <row r="26">
      <c r="A26" s="27">
        <f>IFERROR(__xludf.DUMMYFUNCTION("""COMPUTED_VALUE"""),32.0)</f>
        <v>32</v>
      </c>
      <c r="B26" s="27" t="str">
        <f>IFERROR(__xludf.DUMMYFUNCTION("""COMPUTED_VALUE"""),"R2 / R3")</f>
        <v>R2 / R3</v>
      </c>
      <c r="C26" s="27" t="str">
        <f>IFERROR(__xludf.DUMMYFUNCTION("""COMPUTED_VALUE"""),"challenge")</f>
        <v>challenge</v>
      </c>
      <c r="D26" s="27" t="str">
        <f>IFERROR(__xludf.DUMMYFUNCTION("""COMPUTED_VALUE"""),"The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E26" s="27"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F26" s="27" t="str">
        <f>IFERROR(__xludf.DUMMYFUNCTION("""COMPUTED_VALUE"""),"It's challeging to deal with students having different backgrounds.")</f>
        <v>It's challeging to deal with students having different backgrounds.</v>
      </c>
      <c r="G26" s="7" t="str">
        <f>if(DDivergenciasJuiz = "first",DDivergenciasEspecifico1,if (DDivergenciasJuiz = "second",DDivergenciasEspecifico2, if (DDivergenciasEspecifico1 = "", DDivergenciasEspecifico2, DDivergenciasEspecifico1)))</f>
        <v>no</v>
      </c>
    </row>
    <row r="27">
      <c r="A27" s="27">
        <f>IFERROR(__xludf.DUMMYFUNCTION("""COMPUTED_VALUE"""),27.0)</f>
        <v>27</v>
      </c>
      <c r="B27" s="27" t="str">
        <f>IFERROR(__xludf.DUMMYFUNCTION("""COMPUTED_VALUE"""),"R1 / R2")</f>
        <v>R1 / R2</v>
      </c>
      <c r="C27" s="27" t="str">
        <f>IFERROR(__xludf.DUMMYFUNCTION("""COMPUTED_VALUE"""),"challenge")</f>
        <v>challenge</v>
      </c>
      <c r="D27" s="27" t="str">
        <f>IFERROR(__xludf.DUMMYFUNCTION("""COMPUTED_VALUE"""),"As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E27" s="27"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F27" s="27"/>
      <c r="G27" s="7" t="str">
        <f>if(DDivergenciasJuiz = "first",DDivergenciasEspecifico1,if (DDivergenciasJuiz = "second",DDivergenciasEspecifico2, if (DDivergenciasEspecifico1 = "", DDivergenciasEspecifico2, DDivergenciasEspecifico1)))</f>
        <v>no</v>
      </c>
    </row>
    <row r="28">
      <c r="A28" s="27">
        <f>IFERROR(__xludf.DUMMYFUNCTION("""COMPUTED_VALUE"""),33.0)</f>
        <v>33</v>
      </c>
      <c r="B28" s="27" t="str">
        <f>IFERROR(__xludf.DUMMYFUNCTION("""COMPUTED_VALUE"""),"R1 / R3")</f>
        <v>R1 / R3</v>
      </c>
      <c r="C28" s="27" t="str">
        <f>IFERROR(__xludf.DUMMYFUNCTION("""COMPUTED_VALUE"""),"challenge")</f>
        <v>challenge</v>
      </c>
      <c r="D28" s="28" t="str">
        <f>IFERROR(__xludf.DUMMYFUNCTION("""COMPUTED_VALUE"""),"Another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E28" s="27" t="str">
        <f>IFERROR(__xludf.DUMMYFUNCTION("""COMPUTED_VALUE"""),"Students find it difficult to configure the tools on their own machines in remote teaching mode.")</f>
        <v>Students find it difficult to configure the tools on their own machines in remote teaching mode.</v>
      </c>
      <c r="F28" s="27"/>
      <c r="G28" s="7" t="str">
        <f>if(DDivergenciasJuiz = "first",DDivergenciasEspecifico1,if (DDivergenciasJuiz = "second",DDivergenciasEspecifico2, if (DDivergenciasEspecifico1 = "", DDivergenciasEspecifico2, DDivergenciasEspecifico1)))</f>
        <v>no</v>
      </c>
    </row>
    <row r="29">
      <c r="A29" s="27">
        <f>IFERROR(__xludf.DUMMYFUNCTION("""COMPUTED_VALUE"""),35.0)</f>
        <v>35</v>
      </c>
      <c r="B29" s="27"/>
      <c r="C29" s="27" t="str">
        <f>IFERROR(__xludf.DUMMYFUNCTION("""COMPUTED_VALUE"""),"challenge")</f>
        <v>challenge</v>
      </c>
      <c r="D29" s="27" t="str">
        <f>IFERROR(__xludf.DUMMYFUNCTION("""COMPUTED_VALUE"""),"The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E29" s="27"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F29" s="27" t="str">
        <f>IFERROR(__xludf.DUMMYFUNCTION("""COMPUTED_VALUE"""),"It's challeging to balance DevOps theory and practice.")</f>
        <v>It's challeging to balance DevOps theory and practice.</v>
      </c>
      <c r="G29" s="7" t="str">
        <f>if(DDivergenciasJuiz = "first",DDivergenciasEspecifico1,if (DDivergenciasJuiz = "second",DDivergenciasEspecifico2, if (DDivergenciasEspecifico1 = "", DDivergenciasEspecifico2, DDivergenciasEspecifico1)))</f>
        <v>yes</v>
      </c>
    </row>
    <row r="30">
      <c r="A30" s="27">
        <f>IFERROR(__xludf.DUMMYFUNCTION("""COMPUTED_VALUE"""),36.0)</f>
        <v>36</v>
      </c>
      <c r="B30" s="27" t="str">
        <f>IFERROR(__xludf.DUMMYFUNCTION("""COMPUTED_VALUE"""),"R1 / R2")</f>
        <v>R1 / R2</v>
      </c>
      <c r="C30" s="27" t="str">
        <f>IFERROR(__xludf.DUMMYFUNCTION("""COMPUTED_VALUE"""),"challenge")</f>
        <v>challenge</v>
      </c>
      <c r="D30" s="25" t="str">
        <f>IFERROR(__xludf.DUMMYFUNCTION("""COMPUTED_VALUE"""),"For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E30" s="25"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F30" s="25" t="str">
        <f>IFERROR(__xludf.DUMMYFUNCTION("""COMPUTED_VALUE"""),"Comunications with students is hard when classes are remote.")</f>
        <v>Comunications with students is hard when classes are remote.</v>
      </c>
      <c r="G30" s="7" t="str">
        <f>if(DDivergenciasJuiz = "first",DDivergenciasEspecifico1,if (DDivergenciasJuiz = "second",DDivergenciasEspecifico2, if (DDivergenciasEspecifico1 = "", DDivergenciasEspecifico2, DDivergenciasEspecifico1)))</f>
        <v>no</v>
      </c>
    </row>
    <row r="31">
      <c r="A31" s="27">
        <f>IFERROR(__xludf.DUMMYFUNCTION("""COMPUTED_VALUE"""),37.0)</f>
        <v>37</v>
      </c>
      <c r="B31" s="27" t="str">
        <f>IFERROR(__xludf.DUMMYFUNCTION("""COMPUTED_VALUE"""),"R1 / R3")</f>
        <v>R1 / R3</v>
      </c>
      <c r="C31" s="27" t="str">
        <f>IFERROR(__xludf.DUMMYFUNCTION("""COMPUTED_VALUE"""),"challenge")</f>
        <v>challenge</v>
      </c>
      <c r="D31" s="29" t="str">
        <f>IFERROR(__xludf.DUMMYFUNCTION("""COMPUTED_VALUE"""),"There's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E31" s="27" t="str">
        <f>IFERROR(__xludf.DUMMYFUNCTION("""COMPUTED_VALUE"""),"Difficulty in understanding environment, tools and network configuration.")</f>
        <v>Difficulty in understanding environment, tools and network configuration.</v>
      </c>
      <c r="F31" s="27"/>
      <c r="G31" s="7" t="str">
        <f>if(DDivergenciasJuiz = "first",DDivergenciasEspecifico1,if (DDivergenciasJuiz = "second",DDivergenciasEspecifico2, if (DDivergenciasEspecifico1 = "", DDivergenciasEspecifico2, DDivergenciasEspecifico1)))</f>
        <v>no</v>
      </c>
    </row>
    <row r="32">
      <c r="A32" s="27">
        <f>IFERROR(__xludf.DUMMYFUNCTION("""COMPUTED_VALUE"""),38.0)</f>
        <v>38</v>
      </c>
      <c r="B32" s="27" t="str">
        <f>IFERROR(__xludf.DUMMYFUNCTION("""COMPUTED_VALUE"""),"R2 / R3")</f>
        <v>R2 / R3</v>
      </c>
      <c r="C32" s="27" t="str">
        <f>IFERROR(__xludf.DUMMYFUNCTION("""COMPUTED_VALUE"""),"challenge")</f>
        <v>challenge</v>
      </c>
      <c r="D32" s="25" t="str">
        <f>IFERROR(__xludf.DUMMYFUNCTION("""COMPUTED_VALUE"""),"When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E32" s="27"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F32" s="27"/>
      <c r="G32" s="7" t="str">
        <f>if(DDivergenciasJuiz = "first",DDivergenciasEspecifico1,if (DDivergenciasJuiz = "second",DDivergenciasEspecifico2, if (DDivergenciasEspecifico1 = "", DDivergenciasEspecifico2, DDivergenciasEspecifico1)))</f>
        <v>yes</v>
      </c>
    </row>
    <row r="33">
      <c r="A33" s="27">
        <f>IFERROR(__xludf.DUMMYFUNCTION("""COMPUTED_VALUE"""),39.0)</f>
        <v>39</v>
      </c>
      <c r="B33" s="27" t="str">
        <f>IFERROR(__xludf.DUMMYFUNCTION("""COMPUTED_VALUE"""),"R1 / R2")</f>
        <v>R1 / R2</v>
      </c>
      <c r="C33" s="27" t="str">
        <f>IFERROR(__xludf.DUMMYFUNCTION("""COMPUTED_VALUE"""),"challenge")</f>
        <v>challenge</v>
      </c>
      <c r="D33" s="27" t="str">
        <f>IFERROR(__xludf.DUMMYFUNCTION("""COMPUTED_VALUE"""),"This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E33" s="27"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F33" s="27" t="str">
        <f>IFERROR(__xludf.DUMMYFUNCTION("""COMPUTED_VALUE"""),"It's challeging to find the right sized examples to teach DevOps.")</f>
        <v>It's challeging to find the right sized examples to teach DevOps.</v>
      </c>
      <c r="G33" s="7" t="str">
        <f>if(DDivergenciasJuiz = "first",DDivergenciasEspecifico1,if (DDivergenciasJuiz = "second",DDivergenciasEspecifico2, if (DDivergenciasEspecifico1 = "", DDivergenciasEspecifico2, DDivergenciasEspecifico1)))</f>
        <v>no</v>
      </c>
    </row>
    <row r="34">
      <c r="A34" s="27">
        <f>IFERROR(__xludf.DUMMYFUNCTION("""COMPUTED_VALUE"""),34.0)</f>
        <v>34</v>
      </c>
      <c r="B34" s="27" t="str">
        <f>IFERROR(__xludf.DUMMYFUNCTION("""COMPUTED_VALUE"""),"R1 / R3")</f>
        <v>R1 / R3</v>
      </c>
      <c r="C34" s="27" t="str">
        <f>IFERROR(__xludf.DUMMYFUNCTION("""COMPUTED_VALUE"""),"challenge")</f>
        <v>challenge</v>
      </c>
      <c r="D34" s="27" t="str">
        <f>IFERROR(__xludf.DUMMYFUNCTION("""COMPUTED_VALUE"""),"Doing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E34" s="27"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F34" s="27" t="str">
        <f>IFERROR(__xludf.DUMMYFUNCTION("""COMPUTED_VALUE"""),"Small examples weren't really satisfactory.")</f>
        <v>Small examples weren't really satisfactory.</v>
      </c>
      <c r="G34" s="7" t="str">
        <f>if(DDivergenciasJuiz = "first",DDivergenciasEspecifico1,if (DDivergenciasJuiz = "second",DDivergenciasEspecifico2, if (DDivergenciasEspecifico1 = "", DDivergenciasEspecifico2, DDivergenciasEspecifico1)))</f>
        <v>yes</v>
      </c>
    </row>
    <row r="35">
      <c r="A35" s="27">
        <f>IFERROR(__xludf.DUMMYFUNCTION("""COMPUTED_VALUE"""),40.0)</f>
        <v>40</v>
      </c>
      <c r="B35" s="27" t="str">
        <f>IFERROR(__xludf.DUMMYFUNCTION("""COMPUTED_VALUE"""),"R1 / R3")</f>
        <v>R1 / R3</v>
      </c>
      <c r="C35" s="27" t="str">
        <f>IFERROR(__xludf.DUMMYFUNCTION("""COMPUTED_VALUE"""),"challenge")</f>
        <v>challenge</v>
      </c>
      <c r="D35" s="27" t="str">
        <f>IFERROR(__xludf.DUMMYFUNCTION("""COMPUTED_VALUE"""),"So,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E35" s="27"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F35" s="27" t="str">
        <f>IFERROR(__xludf.DUMMYFUNCTION("""COMPUTED_VALUE"""),"Lack of time to prepare classes to teach DevOps.")</f>
        <v>Lack of time to prepare classes to teach DevOps.</v>
      </c>
      <c r="G35" s="7" t="str">
        <f>if(DDivergenciasJuiz = "first",DDivergenciasEspecifico1,if (DDivergenciasJuiz = "second",DDivergenciasEspecifico2, if (DDivergenciasEspecifico1 = "", DDivergenciasEspecifico2, DDivergenciasEspecifico1)))</f>
        <v>no</v>
      </c>
    </row>
    <row r="36">
      <c r="A36" s="27">
        <f>IFERROR(__xludf.DUMMYFUNCTION("""COMPUTED_VALUE"""),41.0)</f>
        <v>41</v>
      </c>
      <c r="B36" s="27" t="str">
        <f>IFERROR(__xludf.DUMMYFUNCTION("""COMPUTED_VALUE"""),"R2 / R3")</f>
        <v>R2 / R3</v>
      </c>
      <c r="C36" s="27" t="str">
        <f>IFERROR(__xludf.DUMMYFUNCTION("""COMPUTED_VALUE"""),"challenge")</f>
        <v>challenge</v>
      </c>
      <c r="D36" s="27" t="str">
        <f>IFERROR(__xludf.DUMMYFUNCTION("""COMPUTED_VALUE"""),"If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E36" s="27"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F36" s="27" t="str">
        <f>IFERROR(__xludf.DUMMYFUNCTION("""COMPUTED_VALUE"""),"It's challeging to be up-to-date with industrial DevOps tools.")</f>
        <v>It's challeging to be up-to-date with industrial DevOps tools.</v>
      </c>
      <c r="G36" s="7" t="str">
        <f>if(DDivergenciasJuiz = "first",DDivergenciasEspecifico1,if (DDivergenciasJuiz = "second",DDivergenciasEspecifico2, if (DDivergenciasEspecifico1 = "", DDivergenciasEspecifico2, DDivergenciasEspecifico1)))</f>
        <v>no</v>
      </c>
    </row>
    <row r="37">
      <c r="A37" s="27">
        <f>IFERROR(__xludf.DUMMYFUNCTION("""COMPUTED_VALUE"""),42.0)</f>
        <v>42</v>
      </c>
      <c r="B37" s="27" t="str">
        <f>IFERROR(__xludf.DUMMYFUNCTION("""COMPUTED_VALUE"""),"R1 / R2")</f>
        <v>R1 / R2</v>
      </c>
      <c r="C37" s="27" t="str">
        <f>IFERROR(__xludf.DUMMYFUNCTION("""COMPUTED_VALUE"""),"challenge")</f>
        <v>challenge</v>
      </c>
      <c r="D37" s="27" t="str">
        <f>IFERROR(__xludf.DUMMYFUNCTION("""COMPUTED_VALUE"""),"[...]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E37" s="27"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F37" s="27" t="str">
        <f>IFERROR(__xludf.DUMMYFUNCTION("""COMPUTED_VALUE"""),"It's difficult to deal with different hardware and software.")</f>
        <v>It's difficult to deal with different hardware and software.</v>
      </c>
      <c r="G37" s="7" t="str">
        <f>if(DDivergenciasJuiz = "first",DDivergenciasEspecifico1,if (DDivergenciasJuiz = "second",DDivergenciasEspecifico2, if (DDivergenciasEspecifico1 = "", DDivergenciasEspecifico2, DDivergenciasEspecifico1)))</f>
        <v>no</v>
      </c>
    </row>
    <row r="38">
      <c r="A38" s="27">
        <f>IFERROR(__xludf.DUMMYFUNCTION("""COMPUTED_VALUE"""),43.0)</f>
        <v>43</v>
      </c>
      <c r="B38" s="27" t="str">
        <f>IFERROR(__xludf.DUMMYFUNCTION("""COMPUTED_VALUE"""),"R1 / R3")</f>
        <v>R1 / R3</v>
      </c>
      <c r="C38" s="27"/>
      <c r="D38" s="25" t="str">
        <f>IFERROR(__xludf.DUMMYFUNCTION("""COMPUTED_VALUE"""),"Then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E38" s="25"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F38" s="25" t="str">
        <f>IFERROR(__xludf.DUMMYFUNCTION("""COMPUTED_VALUE"""),"Prepare the labs environment requires a lot of time.")</f>
        <v>Prepare the labs environment requires a lot of time.</v>
      </c>
      <c r="G38" s="7" t="str">
        <f>if(DDivergenciasJuiz = "first",DDivergenciasEspecifico1,if (DDivergenciasJuiz = "second",DDivergenciasEspecifico2, if (DDivergenciasEspecifico1 = "", DDivergenciasEspecifico2, DDivergenciasEspecifico1)))</f>
        <v>yes</v>
      </c>
    </row>
    <row r="39">
      <c r="A39" s="27">
        <f>IFERROR(__xludf.DUMMYFUNCTION("""COMPUTED_VALUE"""),44.0)</f>
        <v>44</v>
      </c>
      <c r="B39" s="27" t="str">
        <f>IFERROR(__xludf.DUMMYFUNCTION("""COMPUTED_VALUE"""),"R2 / R3")</f>
        <v>R2 / R3</v>
      </c>
      <c r="C39" s="28" t="str">
        <f>IFERROR(__xludf.DUMMYFUNCTION("""COMPUTED_VALUE"""),"challenge")</f>
        <v>challenge</v>
      </c>
      <c r="D39" s="27" t="str">
        <f>IFERROR(__xludf.DUMMYFUNCTION("""COMPUTED_VALUE"""),"Material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E39" s="27" t="str">
        <f>IFERROR(__xludf.DUMMYFUNCTION("""COMPUTED_VALUE"""),"There is no unified material for teaching DevOps.
There is no complete material to teach DevOps.")</f>
        <v>There is no unified material for teaching DevOps.
There is no complete material to teach DevOps.</v>
      </c>
      <c r="F39" s="27" t="str">
        <f>IFERROR(__xludf.DUMMYFUNCTION("""COMPUTED_VALUE"""),"Unknown unified material for teaching DevOps.")</f>
        <v>Unknown unified material for teaching DevOps.</v>
      </c>
      <c r="G39" s="7" t="str">
        <f>if(DDivergenciasJuiz = "first",DDivergenciasEspecifico1,if (DDivergenciasJuiz = "second",DDivergenciasEspecifico2, if (DDivergenciasEspecifico1 = "", DDivergenciasEspecifico2, DDivergenciasEspecifico1)))</f>
        <v>yes</v>
      </c>
    </row>
    <row r="40">
      <c r="A40" s="27">
        <f>IFERROR(__xludf.DUMMYFUNCTION("""COMPUTED_VALUE"""),45.0)</f>
        <v>45</v>
      </c>
      <c r="B40" s="27" t="str">
        <f>IFERROR(__xludf.DUMMYFUNCTION("""COMPUTED_VALUE"""),"R1 / R2")</f>
        <v>R1 / R2</v>
      </c>
      <c r="C40" s="27" t="str">
        <f>IFERROR(__xludf.DUMMYFUNCTION("""COMPUTED_VALUE"""),"challenge")</f>
        <v>challenge</v>
      </c>
      <c r="D40" s="27" t="str">
        <f>IFERROR(__xludf.DUMMYFUNCTION("""COMPUTED_VALUE"""),"Because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E40" s="27"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F40" s="27" t="str">
        <f>IFERROR(__xludf.DUMMYFUNCTION("""COMPUTED_VALUE"""),"Difficulty in using multiple materials to create the classes.")</f>
        <v>Difficulty in using multiple materials to create the classes.</v>
      </c>
      <c r="G40" s="7" t="str">
        <f>if(DDivergenciasJuiz = "first",DDivergenciasEspecifico1,if (DDivergenciasJuiz = "second",DDivergenciasEspecifico2, if (DDivergenciasEspecifico1 = "", DDivergenciasEspecifico2, DDivergenciasEspecifico1)))</f>
        <v>no</v>
      </c>
    </row>
    <row r="41">
      <c r="A41" s="27">
        <f>IFERROR(__xludf.DUMMYFUNCTION("""COMPUTED_VALUE"""),46.0)</f>
        <v>46</v>
      </c>
      <c r="B41" s="27" t="str">
        <f>IFERROR(__xludf.DUMMYFUNCTION("""COMPUTED_VALUE"""),"R1 / R3")</f>
        <v>R1 / R3</v>
      </c>
      <c r="C41" s="27" t="str">
        <f>IFERROR(__xludf.DUMMYFUNCTION("""COMPUTED_VALUE"""),"challenge")</f>
        <v>challenge</v>
      </c>
      <c r="D41" s="27" t="str">
        <f>IFERROR(__xludf.DUMMYFUNCTION("""COMPUTED_VALUE"""),"And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E41" s="27"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F41" s="27" t="str">
        <f>IFERROR(__xludf.DUMMYFUNCTION("""COMPUTED_VALUE"""),"Students rely on limited material instead of reading books.")</f>
        <v>Students rely on limited material instead of reading books.</v>
      </c>
      <c r="G41" s="7" t="str">
        <f>if(DDivergenciasJuiz = "first",DDivergenciasEspecifico1,if (DDivergenciasJuiz = "second",DDivergenciasEspecifico2, if (DDivergenciasEspecifico1 = "", DDivergenciasEspecifico2, DDivergenciasEspecifico1)))</f>
        <v>no</v>
      </c>
    </row>
    <row r="42">
      <c r="A42" s="27">
        <f>IFERROR(__xludf.DUMMYFUNCTION("""COMPUTED_VALUE"""),47.0)</f>
        <v>47</v>
      </c>
      <c r="B42" s="27" t="str">
        <f>IFERROR(__xludf.DUMMYFUNCTION("""COMPUTED_VALUE"""),"R2 / R3")</f>
        <v>R2 / R3</v>
      </c>
      <c r="C42" s="27" t="str">
        <f>IFERROR(__xludf.DUMMYFUNCTION("""COMPUTED_VALUE"""),"challenge")</f>
        <v>challenge</v>
      </c>
      <c r="D42" s="27" t="str">
        <f>IFERROR(__xludf.DUMMYFUNCTION("""COMPUTED_VALUE"""),"There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E42" s="27"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F42" s="27"/>
      <c r="G42" s="7" t="str">
        <f>if(DDivergenciasJuiz = "first",DDivergenciasEspecifico1,if (DDivergenciasJuiz = "second",DDivergenciasEspecifico2, if (DDivergenciasEspecifico1 = "", DDivergenciasEspecifico2, DDivergenciasEspecifico1)))</f>
        <v>yes</v>
      </c>
    </row>
    <row r="43">
      <c r="A43" s="27">
        <f>IFERROR(__xludf.DUMMYFUNCTION("""COMPUTED_VALUE"""),48.0)</f>
        <v>48</v>
      </c>
      <c r="B43" s="27" t="str">
        <f>IFERROR(__xludf.DUMMYFUNCTION("""COMPUTED_VALUE"""),"R1 / R2")</f>
        <v>R1 / R2</v>
      </c>
      <c r="C43" s="27" t="str">
        <f>IFERROR(__xludf.DUMMYFUNCTION("""COMPUTED_VALUE"""),"challenge")</f>
        <v>challenge</v>
      </c>
      <c r="D43" s="27" t="str">
        <f>IFERROR(__xludf.DUMMYFUNCTION("""COMPUTED_VALUE"""),"There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E43" s="27"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F43" s="27" t="str">
        <f>IFERROR(__xludf.DUMMYFUNCTION("""COMPUTED_VALUE"""),"Difficulty in structuring the learning journey.")</f>
        <v>Difficulty in structuring the learning journey.</v>
      </c>
      <c r="G43" s="7" t="str">
        <f>if(DDivergenciasJuiz = "first",DDivergenciasEspecifico1,if (DDivergenciasJuiz = "second",DDivergenciasEspecifico2, if (DDivergenciasEspecifico1 = "", DDivergenciasEspecifico2, DDivergenciasEspecifico1)))</f>
        <v>no</v>
      </c>
    </row>
    <row r="44">
      <c r="A44" s="27">
        <f>IFERROR(__xludf.DUMMYFUNCTION("""COMPUTED_VALUE"""),49.0)</f>
        <v>49</v>
      </c>
      <c r="B44" s="27" t="str">
        <f>IFERROR(__xludf.DUMMYFUNCTION("""COMPUTED_VALUE"""),"R1 / R3")</f>
        <v>R1 / R3</v>
      </c>
      <c r="C44" s="27" t="str">
        <f>IFERROR(__xludf.DUMMYFUNCTION("""COMPUTED_VALUE"""),"challenge")</f>
        <v>challenge</v>
      </c>
      <c r="D44" s="27" t="str">
        <f>IFERROR(__xludf.DUMMYFUNCTION("""COMPUTED_VALUE"""),"team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E44" s="27" t="str">
        <f>IFERROR(__xludf.DUMMYFUNCTION("""COMPUTED_VALUE"""),"Large class assessment requires great effort.")</f>
        <v>Large class assessment requires great effort.</v>
      </c>
      <c r="F44" s="27"/>
      <c r="G44" s="7" t="str">
        <f>if(DDivergenciasJuiz = "first",DDivergenciasEspecifico1,if (DDivergenciasJuiz = "second",DDivergenciasEspecifico2, if (DDivergenciasEspecifico1 = "", DDivergenciasEspecifico2, DDivergenciasEspecifico1)))</f>
        <v>no</v>
      </c>
    </row>
    <row r="45">
      <c r="A45" s="27">
        <f>IFERROR(__xludf.DUMMYFUNCTION("""COMPUTED_VALUE"""),50.0)</f>
        <v>50</v>
      </c>
      <c r="B45" s="27" t="str">
        <f>IFERROR(__xludf.DUMMYFUNCTION("""COMPUTED_VALUE"""),"R2 / R3")</f>
        <v>R2 / R3</v>
      </c>
      <c r="C45" s="27" t="str">
        <f>IFERROR(__xludf.DUMMYFUNCTION("""COMPUTED_VALUE"""),"challenge")</f>
        <v>challenge</v>
      </c>
      <c r="D45" s="27" t="str">
        <f>IFERROR(__xludf.DUMMYFUNCTION("""COMPUTED_VALUE"""),"the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E45" s="27"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F45" s="27" t="str">
        <f>IFERROR(__xludf.DUMMYFUNCTION("""COMPUTED_VALUE"""),"It is difficult to create a DevOps course without a previous reference ones.")</f>
        <v>It is difficult to create a DevOps course without a previous reference ones.</v>
      </c>
      <c r="G45" s="7" t="str">
        <f>if(DDivergenciasJuiz = "first",DDivergenciasEspecifico1,if (DDivergenciasJuiz = "second",DDivergenciasEspecifico2, if (DDivergenciasEspecifico1 = "", DDivergenciasEspecifico2, DDivergenciasEspecifico1)))</f>
        <v>no</v>
      </c>
    </row>
    <row r="46">
      <c r="A46" s="27">
        <f>IFERROR(__xludf.DUMMYFUNCTION("""COMPUTED_VALUE"""),51.0)</f>
        <v>51</v>
      </c>
      <c r="B46" s="27" t="str">
        <f>IFERROR(__xludf.DUMMYFUNCTION("""COMPUTED_VALUE"""),"R1 / R2")</f>
        <v>R1 / R2</v>
      </c>
      <c r="C46" s="27" t="str">
        <f>IFERROR(__xludf.DUMMYFUNCTION("""COMPUTED_VALUE"""),"challenge")</f>
        <v>challenge</v>
      </c>
      <c r="D46" s="25" t="str">
        <f>IFERROR(__xludf.DUMMYFUNCTION("""COMPUTED_VALUE"""),"This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E46" s="25" t="str">
        <f>IFERROR(__xludf.DUMMYFUNCTION("""COMPUTED_VALUE"""),"Rapid and constant changes in DevOps make it difficult to create a teaching plan.")</f>
        <v>Rapid and constant changes in DevOps make it difficult to create a teaching plan.</v>
      </c>
      <c r="F46" s="25"/>
      <c r="G46" s="7" t="str">
        <f>if(DDivergenciasJuiz = "first",DDivergenciasEspecifico1,if (DDivergenciasJuiz = "second",DDivergenciasEspecifico2, if (DDivergenciasEspecifico1 = "", DDivergenciasEspecifico2, DDivergenciasEspecifico1)))</f>
        <v>yes</v>
      </c>
    </row>
    <row r="47">
      <c r="A47" s="27">
        <f>IFERROR(__xludf.DUMMYFUNCTION("""COMPUTED_VALUE"""),52.0)</f>
        <v>52</v>
      </c>
      <c r="B47" s="27" t="str">
        <f>IFERROR(__xludf.DUMMYFUNCTION("""COMPUTED_VALUE"""),"R1 / R3")</f>
        <v>R1 / R3</v>
      </c>
      <c r="C47" s="27" t="str">
        <f>IFERROR(__xludf.DUMMYFUNCTION("""COMPUTED_VALUE"""),"challenge")</f>
        <v>challenge</v>
      </c>
      <c r="D47" s="25" t="str">
        <f>IFERROR(__xludf.DUMMYFUNCTION("""COMPUTED_VALUE"""),"""DevOps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E47" s="25" t="str">
        <f>IFERROR(__xludf.DUMMYFUNCTION("""COMPUTED_VALUE"""),"Difficulty in linking DevOps classes with other subjects of interest to students.")</f>
        <v>Difficulty in linking DevOps classes with other subjects of interest to students.</v>
      </c>
      <c r="F47" s="25"/>
      <c r="G47" s="7" t="str">
        <f>if(DDivergenciasJuiz = "first",DDivergenciasEspecifico1,if (DDivergenciasJuiz = "second",DDivergenciasEspecifico2, if (DDivergenciasEspecifico1 = "", DDivergenciasEspecifico2, DDivergenciasEspecifico1)))</f>
        <v>yes</v>
      </c>
    </row>
    <row r="48">
      <c r="A48" s="27">
        <f>IFERROR(__xludf.DUMMYFUNCTION("""COMPUTED_VALUE"""),53.0)</f>
        <v>53</v>
      </c>
      <c r="B48" s="27" t="str">
        <f>IFERROR(__xludf.DUMMYFUNCTION("""COMPUTED_VALUE"""),"R1 / R2")</f>
        <v>R1 / R2</v>
      </c>
      <c r="C48" s="27" t="str">
        <f>IFERROR(__xludf.DUMMYFUNCTION("""COMPUTED_VALUE"""),"challenge")</f>
        <v>challenge</v>
      </c>
      <c r="D48" s="25" t="str">
        <f>IFERROR(__xludf.DUMMYFUNCTION("""COMPUTED_VALUE"""),"There are several environments in the cloud, but they all cost money.")</f>
        <v>There are several environments in the cloud, but they all cost money.</v>
      </c>
      <c r="E48" s="25" t="str">
        <f>IFERROR(__xludf.DUMMYFUNCTION("""COMPUTED_VALUE"""),"Environment set up in a cloud service cost money.")</f>
        <v>Environment set up in a cloud service cost money.</v>
      </c>
      <c r="F48" s="25"/>
      <c r="G48" s="7" t="str">
        <f>if(DDivergenciasJuiz = "first",DDivergenciasEspecifico1,if (DDivergenciasJuiz = "second",DDivergenciasEspecifico2, if (DDivergenciasEspecifico1 = "", DDivergenciasEspecifico2, DDivergenciasEspecifico1)))</f>
        <v>no</v>
      </c>
    </row>
    <row r="49">
      <c r="A49" s="27">
        <f>IFERROR(__xludf.DUMMYFUNCTION("""COMPUTED_VALUE"""),54.0)</f>
        <v>54</v>
      </c>
      <c r="B49" s="27" t="str">
        <f>IFERROR(__xludf.DUMMYFUNCTION("""COMPUTED_VALUE"""),"R1 / R3")</f>
        <v>R1 / R3</v>
      </c>
      <c r="C49" s="27" t="str">
        <f>IFERROR(__xludf.DUMMYFUNCTION("""COMPUTED_VALUE"""),"challenge")</f>
        <v>challenge</v>
      </c>
      <c r="D49" s="25" t="str">
        <f>IFERROR(__xludf.DUMMYFUNCTION("""COMPUTED_VALUE"""),"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E49" s="25" t="str">
        <f>IFERROR(__xludf.DUMMYFUNCTION("""COMPUTED_VALUE"""),"VirtualBox has limitation in MacOS.")</f>
        <v>VirtualBox has limitation in MacOS.</v>
      </c>
      <c r="F49" s="25"/>
      <c r="G49" s="7" t="str">
        <f>if(DDivergenciasJuiz = "first",DDivergenciasEspecifico1,if (DDivergenciasJuiz = "second",DDivergenciasEspecifico2, if (DDivergenciasEspecifico1 = "", DDivergenciasEspecifico2, DDivergenciasEspecifico1)))</f>
        <v>no</v>
      </c>
    </row>
    <row r="50">
      <c r="A50" s="27">
        <f>IFERROR(__xludf.DUMMYFUNCTION("""COMPUTED_VALUE"""),55.0)</f>
        <v>55</v>
      </c>
      <c r="B50" s="27" t="str">
        <f>IFERROR(__xludf.DUMMYFUNCTION("""COMPUTED_VALUE"""),"R2 / R3")</f>
        <v>R2 / R3</v>
      </c>
      <c r="C50" s="27" t="str">
        <f>IFERROR(__xludf.DUMMYFUNCTION("""COMPUTED_VALUE"""),"challenge")</f>
        <v>challenge</v>
      </c>
      <c r="D50" s="25" t="str">
        <f>IFERROR(__xludf.DUMMYFUNCTION("""COMPUTED_VALUE"""),"You have to find a set of tools that work together.
 For many people, getting them all to work together can be particularly challenging.")</f>
        <v>You have to find a set of tools that work together.
 For many people, getting them all to work together can be particularly challenging.</v>
      </c>
      <c r="E50" s="25"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F50" s="25" t="str">
        <f>IFERROR(__xludf.DUMMYFUNCTION("""COMPUTED_VALUE"""),"Getting all DevOps tools to work together is challenging.")</f>
        <v>Getting all DevOps tools to work together is challenging.</v>
      </c>
      <c r="G50" s="7" t="str">
        <f>if(DDivergenciasJuiz = "first",DDivergenciasEspecifico1,if (DDivergenciasJuiz = "second",DDivergenciasEspecifico2, if (DDivergenciasEspecifico1 = "", DDivergenciasEspecifico2, DDivergenciasEspecifico1)))</f>
        <v>yes</v>
      </c>
    </row>
    <row r="51">
      <c r="A51" s="27">
        <f>IFERROR(__xludf.DUMMYFUNCTION("""COMPUTED_VALUE"""),56.0)</f>
        <v>56</v>
      </c>
      <c r="B51" s="27" t="str">
        <f>IFERROR(__xludf.DUMMYFUNCTION("""COMPUTED_VALUE"""),"R1 / R2")</f>
        <v>R1 / R2</v>
      </c>
      <c r="C51" s="27" t="str">
        <f>IFERROR(__xludf.DUMMYFUNCTION("""COMPUTED_VALUE"""),"challenge")</f>
        <v>challenge</v>
      </c>
      <c r="D51" s="25" t="str">
        <f>IFERROR(__xludf.DUMMYFUNCTION("""COMPUTED_VALUE"""),"A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E51" s="25"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F51" s="25" t="str">
        <f>IFERROR(__xludf.DUMMYFUNCTION("""COMPUTED_VALUE"""),"It is difficult to teach agile techniques.")</f>
        <v>It is difficult to teach agile techniques.</v>
      </c>
      <c r="G51" s="7" t="str">
        <f>if(DDivergenciasJuiz = "first",DDivergenciasEspecifico1,if (DDivergenciasJuiz = "second",DDivergenciasEspecifico2, if (DDivergenciasEspecifico1 = "", DDivergenciasEspecifico2, DDivergenciasEspecifico1)))</f>
        <v>no</v>
      </c>
    </row>
    <row r="52">
      <c r="A52" s="27">
        <f>IFERROR(__xludf.DUMMYFUNCTION("""COMPUTED_VALUE"""),57.0)</f>
        <v>57</v>
      </c>
      <c r="B52" s="27" t="str">
        <f>IFERROR(__xludf.DUMMYFUNCTION("""COMPUTED_VALUE"""),"R1 / R3")</f>
        <v>R1 / R3</v>
      </c>
      <c r="C52" s="27" t="str">
        <f>IFERROR(__xludf.DUMMYFUNCTION("""COMPUTED_VALUE"""),"challenge")</f>
        <v>challenge</v>
      </c>
      <c r="D52" s="25" t="str">
        <f>IFERROR(__xludf.DUMMYFUNCTION("""COMPUTED_VALUE"""),"Are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E52" s="25" t="str">
        <f>IFERROR(__xludf.DUMMYFUNCTION("""COMPUTED_VALUE"""),"It is challeging to verify if the students learn the devops process of working.")</f>
        <v>It is challeging to verify if the students learn the devops process of working.</v>
      </c>
      <c r="F52" s="25"/>
      <c r="G52" s="7" t="str">
        <f>if(DDivergenciasJuiz = "first",DDivergenciasEspecifico1,if (DDivergenciasJuiz = "second",DDivergenciasEspecifico2, if (DDivergenciasEspecifico1 = "", DDivergenciasEspecifico2, DDivergenciasEspecifico1)))</f>
        <v>yes</v>
      </c>
    </row>
    <row r="53">
      <c r="A53" s="27">
        <f>IFERROR(__xludf.DUMMYFUNCTION("""COMPUTED_VALUE"""),58.0)</f>
        <v>58</v>
      </c>
      <c r="B53" s="27" t="str">
        <f>IFERROR(__xludf.DUMMYFUNCTION("""COMPUTED_VALUE"""),"R2 / R3")</f>
        <v>R2 / R3</v>
      </c>
      <c r="C53" s="27" t="str">
        <f>IFERROR(__xludf.DUMMYFUNCTION("""COMPUTED_VALUE"""),"challenge")</f>
        <v>challenge</v>
      </c>
      <c r="D53" s="25" t="str">
        <f>IFERROR(__xludf.DUMMYFUNCTION("""COMPUTED_VALUE"""),"Doing a hands-on class with that many (45) students is just physically challenging.")</f>
        <v>Doing a hands-on class with that many (45) students is just physically challenging.</v>
      </c>
      <c r="E53" s="25" t="str">
        <f>IFERROR(__xludf.DUMMYFUNCTION("""COMPUTED_VALUE"""),"Doing a hands-on class with that many (45) students is just physically challenging.")</f>
        <v>Doing a hands-on class with that many (45) students is just physically challenging.</v>
      </c>
      <c r="F53" s="25"/>
      <c r="G53" s="7" t="str">
        <f>if(DDivergenciasJuiz = "first",DDivergenciasEspecifico1,if (DDivergenciasJuiz = "second",DDivergenciasEspecifico2, if (DDivergenciasEspecifico1 = "", DDivergenciasEspecifico2, DDivergenciasEspecifico1)))</f>
        <v>no</v>
      </c>
    </row>
    <row r="54">
      <c r="A54" s="27">
        <f>IFERROR(__xludf.DUMMYFUNCTION("""COMPUTED_VALUE"""),59.0)</f>
        <v>59</v>
      </c>
      <c r="B54" s="27" t="str">
        <f>IFERROR(__xludf.DUMMYFUNCTION("""COMPUTED_VALUE"""),"R1 / R2")</f>
        <v>R1 / R2</v>
      </c>
      <c r="C54" s="27" t="str">
        <f>IFERROR(__xludf.DUMMYFUNCTION("""COMPUTED_VALUE"""),"challenge")</f>
        <v>challenge</v>
      </c>
      <c r="D54" s="25" t="str">
        <f>IFERROR(__xludf.DUMMYFUNCTION("""COMPUTED_VALUE"""),"You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E54" s="25" t="str">
        <f>IFERROR(__xludf.DUMMYFUNCTION("""COMPUTED_VALUE"""),"Teach operational activities is ignored because it is hard.")</f>
        <v>Teach operational activities is ignored because it is hard.</v>
      </c>
      <c r="F54" s="25"/>
      <c r="G54" s="7" t="str">
        <f>if(DDivergenciasJuiz = "first",DDivergenciasEspecifico1,if (DDivergenciasJuiz = "second",DDivergenciasEspecifico2, if (DDivergenciasEspecifico1 = "", DDivergenciasEspecifico2, DDivergenciasEspecifico1)))</f>
        <v>yes</v>
      </c>
    </row>
    <row r="55">
      <c r="A55" s="27">
        <f>IFERROR(__xludf.DUMMYFUNCTION("""COMPUTED_VALUE"""),60.0)</f>
        <v>60</v>
      </c>
      <c r="B55" s="27" t="str">
        <f>IFERROR(__xludf.DUMMYFUNCTION("""COMPUTED_VALUE"""),"R1 / R3")</f>
        <v>R1 / R3</v>
      </c>
      <c r="C55" s="27" t="str">
        <f>IFERROR(__xludf.DUMMYFUNCTION("""COMPUTED_VALUE"""),"challenge")</f>
        <v>challenge</v>
      </c>
      <c r="D55" s="25" t="str">
        <f>IFERROR(__xludf.DUMMYFUNCTION("""COMPUTED_VALUE"""),"That is a lot of the devops principles that come into play. ")</f>
        <v>That is a lot of the devops principles that come into play. </v>
      </c>
      <c r="E55" s="25" t="str">
        <f>IFERROR(__xludf.DUMMYFUNCTION("""COMPUTED_VALUE"""),"Many devops concepts need to be taught.")</f>
        <v>Many devops concepts need to be taught.</v>
      </c>
      <c r="F55" s="25"/>
      <c r="G55" s="7" t="str">
        <f>if(DDivergenciasJuiz = "first",DDivergenciasEspecifico1,if (DDivergenciasJuiz = "second",DDivergenciasEspecifico2, if (DDivergenciasEspecifico1 = "", DDivergenciasEspecifico2, DDivergenciasEspecifico1)))</f>
        <v>yes</v>
      </c>
    </row>
    <row r="56">
      <c r="A56" s="27">
        <f>IFERROR(__xludf.DUMMYFUNCTION("""COMPUTED_VALUE"""),61.0)</f>
        <v>61</v>
      </c>
      <c r="B56" s="27" t="str">
        <f>IFERROR(__xludf.DUMMYFUNCTION("""COMPUTED_VALUE"""),"R2 / R3")</f>
        <v>R2 / R3</v>
      </c>
      <c r="C56" s="27" t="str">
        <f>IFERROR(__xludf.DUMMYFUNCTION("""COMPUTED_VALUE"""),"challenge")</f>
        <v>challenge</v>
      </c>
      <c r="D56" s="25" t="str">
        <f>IFERROR(__xludf.DUMMYFUNCTION("""COMPUTED_VALUE"""),"It is very dangerous to teach too many tools because it's simply conveys that it is a very technology centric approach.")</f>
        <v>It is very dangerous to teach too many tools because it's simply conveys that it is a very technology centric approach.</v>
      </c>
      <c r="E56" s="25"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F56" s="25"/>
      <c r="G56" s="7" t="str">
        <f>if(DDivergenciasJuiz = "first",DDivergenciasEspecifico1,if (DDivergenciasJuiz = "second",DDivergenciasEspecifico2, if (DDivergenciasEspecifico1 = "", DDivergenciasEspecifico2, DDivergenciasEspecifico1)))</f>
        <v>yes</v>
      </c>
    </row>
    <row r="57">
      <c r="A57" s="27">
        <f>IFERROR(__xludf.DUMMYFUNCTION("""COMPUTED_VALUE"""),62.0)</f>
        <v>62</v>
      </c>
      <c r="B57" s="27" t="str">
        <f>IFERROR(__xludf.DUMMYFUNCTION("""COMPUTED_VALUE"""),"R1 / R2")</f>
        <v>R1 / R2</v>
      </c>
      <c r="C57" s="27" t="str">
        <f>IFERROR(__xludf.DUMMYFUNCTION("""COMPUTED_VALUE"""),"challenge")</f>
        <v>challenge</v>
      </c>
      <c r="D57" s="25" t="str">
        <f>IFERROR(__xludf.DUMMYFUNCTION("""COMPUTED_VALUE"""),"A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E57" s="25" t="str">
        <f>IFERROR(__xludf.DUMMYFUNCTION("""COMPUTED_VALUE"""),"Students are not at a level in the their companies where they can introduce DevOps mindset.")</f>
        <v>Students are not at a level in the their companies where they can introduce DevOps mindset.</v>
      </c>
      <c r="F57" s="25"/>
      <c r="G57" s="7" t="str">
        <f>if(DDivergenciasJuiz = "first",DDivergenciasEspecifico1,if (DDivergenciasJuiz = "second",DDivergenciasEspecifico2, if (DDivergenciasEspecifico1 = "", DDivergenciasEspecifico2, DDivergenciasEspecifico1)))</f>
        <v>yes</v>
      </c>
    </row>
    <row r="58">
      <c r="A58" s="27">
        <f>IFERROR(__xludf.DUMMYFUNCTION("""COMPUTED_VALUE"""),63.0)</f>
        <v>63</v>
      </c>
      <c r="B58" s="27" t="str">
        <f>IFERROR(__xludf.DUMMYFUNCTION("""COMPUTED_VALUE"""),"R1 / R3")</f>
        <v>R1 / R3</v>
      </c>
      <c r="C58" s="27" t="str">
        <f>IFERROR(__xludf.DUMMYFUNCTION("""COMPUTED_VALUE"""),"challenge")</f>
        <v>challenge</v>
      </c>
      <c r="D58" s="25" t="str">
        <f>IFERROR(__xludf.DUMMYFUNCTION("""COMPUTED_VALUE"""),"It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E58" s="25" t="str">
        <f>IFERROR(__xludf.DUMMYFUNCTION("""COMPUTED_VALUE"""),"It is hard to find strategies from industry unless if it written in a paper.")</f>
        <v>It is hard to find strategies from industry unless if it written in a paper.</v>
      </c>
      <c r="F58" s="25"/>
      <c r="G58" s="7" t="str">
        <f>if(DDivergenciasJuiz = "first",DDivergenciasEspecifico1,if (DDivergenciasJuiz = "second",DDivergenciasEspecifico2, if (DDivergenciasEspecifico1 = "", DDivergenciasEspecifico2, DDivergenciasEspecifico1)))</f>
        <v>no</v>
      </c>
    </row>
    <row r="59">
      <c r="A59" s="27">
        <f>IFERROR(__xludf.DUMMYFUNCTION("""COMPUTED_VALUE"""),64.0)</f>
        <v>64</v>
      </c>
      <c r="B59" s="27" t="str">
        <f>IFERROR(__xludf.DUMMYFUNCTION("""COMPUTED_VALUE"""),"R2 / R3")</f>
        <v>R2 / R3</v>
      </c>
      <c r="C59" s="27" t="str">
        <f>IFERROR(__xludf.DUMMYFUNCTION("""COMPUTED_VALUE"""),"challenge")</f>
        <v>challenge</v>
      </c>
      <c r="D59" s="25" t="str">
        <f>IFERROR(__xludf.DUMMYFUNCTION("""COMPUTED_VALUE"""),"I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E59" s="25" t="str">
        <f>IFERROR(__xludf.DUMMYFUNCTION("""COMPUTED_VALUE"""),"Task done by students do not means that students learned correctly.")</f>
        <v>Task done by students do not means that students learned correctly.</v>
      </c>
      <c r="F59" s="25"/>
      <c r="G59" s="7" t="str">
        <f>if(DDivergenciasJuiz = "first",DDivergenciasEspecifico1,if (DDivergenciasJuiz = "second",DDivergenciasEspecifico2, if (DDivergenciasEspecifico1 = "", DDivergenciasEspecifico2, DDivergenciasEspecifico1)))</f>
        <v>no</v>
      </c>
    </row>
    <row r="60">
      <c r="A60" s="27">
        <f>IFERROR(__xludf.DUMMYFUNCTION("""COMPUTED_VALUE"""),65.0)</f>
        <v>65</v>
      </c>
      <c r="B60" s="27" t="str">
        <f>IFERROR(__xludf.DUMMYFUNCTION("""COMPUTED_VALUE"""),"R1 / R2")</f>
        <v>R1 / R2</v>
      </c>
      <c r="C60" s="27" t="str">
        <f>IFERROR(__xludf.DUMMYFUNCTION("""COMPUTED_VALUE"""),"challenge")</f>
        <v>challenge</v>
      </c>
      <c r="D60" s="25" t="str">
        <f>IFERROR(__xludf.DUMMYFUNCTION("""COMPUTED_VALUE"""),"The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E60" s="25"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F60" s="25"/>
      <c r="G60" s="7" t="str">
        <f>if(DDivergenciasJuiz = "first",DDivergenciasEspecifico1,if (DDivergenciasJuiz = "second",DDivergenciasEspecifico2, if (DDivergenciasEspecifico1 = "", DDivergenciasEspecifico2, DDivergenciasEspecifico1)))</f>
        <v>no</v>
      </c>
    </row>
    <row r="61">
      <c r="A61" s="27">
        <f>IFERROR(__xludf.DUMMYFUNCTION("""COMPUTED_VALUE"""),66.0)</f>
        <v>66</v>
      </c>
      <c r="B61" s="27" t="str">
        <f>IFERROR(__xludf.DUMMYFUNCTION("""COMPUTED_VALUE"""),"R1 / R3")</f>
        <v>R1 / R3</v>
      </c>
      <c r="C61" s="27" t="str">
        <f>IFERROR(__xludf.DUMMYFUNCTION("""COMPUTED_VALUE"""),"challenge")</f>
        <v>challenge</v>
      </c>
      <c r="D61" s="25" t="str">
        <f>IFERROR(__xludf.DUMMYFUNCTION("""COMPUTED_VALUE"""),"Human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E61" s="25"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F61" s="25" t="str">
        <f>IFERROR(__xludf.DUMMYFUNCTION("""COMPUTED_VALUE"""),"DevOps course doesn't look relevant for undergratuate students when you start teaching.")</f>
        <v>DevOps course doesn't look relevant for undergratuate students when you start teaching.</v>
      </c>
      <c r="G61" s="7" t="str">
        <f>if(DDivergenciasJuiz = "first",DDivergenciasEspecifico1,if (DDivergenciasJuiz = "second",DDivergenciasEspecifico2, if (DDivergenciasEspecifico1 = "", DDivergenciasEspecifico2, DDivergenciasEspecifico1)))</f>
        <v>yes</v>
      </c>
    </row>
    <row r="62">
      <c r="A62" s="27">
        <f>IFERROR(__xludf.DUMMYFUNCTION("""COMPUTED_VALUE"""),67.0)</f>
        <v>67</v>
      </c>
      <c r="B62" s="27" t="str">
        <f>IFERROR(__xludf.DUMMYFUNCTION("""COMPUTED_VALUE"""),"R2 / R3")</f>
        <v>R2 / R3</v>
      </c>
      <c r="C62" s="27" t="str">
        <f>IFERROR(__xludf.DUMMYFUNCTION("""COMPUTED_VALUE"""),"challenge")</f>
        <v>challenge</v>
      </c>
      <c r="D62" s="25" t="str">
        <f>IFERROR(__xludf.DUMMYFUNCTION("""COMPUTED_VALUE"""),"When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E62" s="25"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F62" s="25"/>
      <c r="G62" s="7" t="str">
        <f>if(DDivergenciasJuiz = "first",DDivergenciasEspecifico1,if (DDivergenciasJuiz = "second",DDivergenciasEspecifico2, if (DDivergenciasEspecifico1 = "", DDivergenciasEspecifico2, DDivergenciasEspecifico1)))</f>
        <v>yes</v>
      </c>
    </row>
    <row r="63">
      <c r="A63" s="27">
        <f>IFERROR(__xludf.DUMMYFUNCTION("""COMPUTED_VALUE"""),68.0)</f>
        <v>68</v>
      </c>
      <c r="B63" s="27" t="str">
        <f>IFERROR(__xludf.DUMMYFUNCTION("""COMPUTED_VALUE"""),"R1 / R2")</f>
        <v>R1 / R2</v>
      </c>
      <c r="C63" s="27" t="str">
        <f>IFERROR(__xludf.DUMMYFUNCTION("""COMPUTED_VALUE"""),"challenge")</f>
        <v>challenge</v>
      </c>
      <c r="D63" s="25" t="str">
        <f>IFERROR(__xludf.DUMMYFUNCTION("""COMPUTED_VALUE"""),"Uh,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E63" s="25" t="str">
        <f>IFERROR(__xludf.DUMMYFUNCTION("""COMPUTED_VALUE"""),"It's hard to supervise students' work when you use a lot of virtual machines.")</f>
        <v>It's hard to supervise students' work when you use a lot of virtual machines.</v>
      </c>
      <c r="F63" s="25"/>
      <c r="G63" s="7" t="str">
        <f>if(DDivergenciasJuiz = "first",DDivergenciasEspecifico1,if (DDivergenciasJuiz = "second",DDivergenciasEspecifico2, if (DDivergenciasEspecifico1 = "", DDivergenciasEspecifico2, DDivergenciasEspecifico1)))</f>
        <v>no</v>
      </c>
    </row>
    <row r="64">
      <c r="A64" s="27">
        <f>IFERROR(__xludf.DUMMYFUNCTION("""COMPUTED_VALUE"""),69.0)</f>
        <v>69</v>
      </c>
      <c r="B64" s="27" t="str">
        <f>IFERROR(__xludf.DUMMYFUNCTION("""COMPUTED_VALUE"""),"R1 / R3")</f>
        <v>R1 / R3</v>
      </c>
      <c r="C64" s="27" t="str">
        <f>IFERROR(__xludf.DUMMYFUNCTION("""COMPUTED_VALUE"""),"challenge")</f>
        <v>challenge</v>
      </c>
      <c r="D64" s="25" t="str">
        <f>IFERROR(__xludf.DUMMYFUNCTION("""COMPUTED_VALUE"""),"It's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E64" s="25" t="str">
        <f>IFERROR(__xludf.DUMMYFUNCTION("""COMPUTED_VALUE"""),"It's hard for students to see the values of deployment side and they don't want to do operational activities.")</f>
        <v>It's hard for students to see the values of deployment side and they don't want to do operational activities.</v>
      </c>
      <c r="F64" s="25"/>
      <c r="G64" s="7" t="str">
        <f>if(DDivergenciasJuiz = "first",DDivergenciasEspecifico1,if (DDivergenciasJuiz = "second",DDivergenciasEspecifico2, if (DDivergenciasEspecifico1 = "", DDivergenciasEspecifico2, DDivergenciasEspecifico1)))</f>
        <v>yes</v>
      </c>
    </row>
    <row r="65">
      <c r="A65" s="27">
        <f>IFERROR(__xludf.DUMMYFUNCTION("""COMPUTED_VALUE"""),70.0)</f>
        <v>70</v>
      </c>
      <c r="B65" s="27" t="str">
        <f>IFERROR(__xludf.DUMMYFUNCTION("""COMPUTED_VALUE"""),"R2 / R3")</f>
        <v>R2 / R3</v>
      </c>
      <c r="C65" s="27" t="str">
        <f>IFERROR(__xludf.DUMMYFUNCTION("""COMPUTED_VALUE"""),"challenge")</f>
        <v>challenge</v>
      </c>
      <c r="D65" s="25" t="str">
        <f>IFERROR(__xludf.DUMMYFUNCTION("""COMPUTED_VALUE"""),"What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E65" s="25" t="str">
        <f>IFERROR(__xludf.DUMMYFUNCTION("""COMPUTED_VALUE"""),"It is hard to prepare a robust and simple technology stack.")</f>
        <v>It is hard to prepare a robust and simple technology stack.</v>
      </c>
      <c r="F65" s="25"/>
      <c r="G65" s="7" t="str">
        <f>if(DDivergenciasJuiz = "first",DDivergenciasEspecifico1,if (DDivergenciasJuiz = "second",DDivergenciasEspecifico2, if (DDivergenciasEspecifico1 = "", DDivergenciasEspecifico2, DDivergenciasEspecifico1)))</f>
        <v>no</v>
      </c>
    </row>
    <row r="66">
      <c r="A66" s="27">
        <f>IFERROR(__xludf.DUMMYFUNCTION("""COMPUTED_VALUE"""),71.0)</f>
        <v>71</v>
      </c>
      <c r="B66" s="27" t="str">
        <f>IFERROR(__xludf.DUMMYFUNCTION("""COMPUTED_VALUE"""),"R1 / R2")</f>
        <v>R1 / R2</v>
      </c>
      <c r="C66" s="27" t="str">
        <f>IFERROR(__xludf.DUMMYFUNCTION("""COMPUTED_VALUE"""),"challenge")</f>
        <v>challenge</v>
      </c>
      <c r="D66" s="25" t="str">
        <f>IFERROR(__xludf.DUMMYFUNCTION("""COMPUTED_VALUE"""),"It's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E66" s="25"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F66" s="25" t="str">
        <f>IFERROR(__xludf.DUMMYFUNCTION("""COMPUTED_VALUE"""),"The preparation of the exercise is demanding.")</f>
        <v>The preparation of the exercise is demanding.</v>
      </c>
      <c r="G66" s="7" t="str">
        <f>if(DDivergenciasJuiz = "first",DDivergenciasEspecifico1,if (DDivergenciasJuiz = "second",DDivergenciasEspecifico2, if (DDivergenciasEspecifico1 = "", DDivergenciasEspecifico2, DDivergenciasEspecifico1)))</f>
        <v>yes</v>
      </c>
    </row>
    <row r="67">
      <c r="A67" s="27">
        <f>IFERROR(__xludf.DUMMYFUNCTION("""COMPUTED_VALUE"""),72.0)</f>
        <v>72</v>
      </c>
      <c r="B67" s="27" t="str">
        <f>IFERROR(__xludf.DUMMYFUNCTION("""COMPUTED_VALUE"""),"R1 / R3")</f>
        <v>R1 / R3</v>
      </c>
      <c r="C67" s="27" t="str">
        <f>IFERROR(__xludf.DUMMYFUNCTION("""COMPUTED_VALUE"""),"challenge")</f>
        <v>challenge</v>
      </c>
      <c r="D67" s="25" t="str">
        <f>IFERROR(__xludf.DUMMYFUNCTION("""COMPUTED_VALUE"""),"Um,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E67" s="25" t="str">
        <f>IFERROR(__xludf.DUMMYFUNCTION("""COMPUTED_VALUE"""),"Teach DevOps requires much knowledge from the professor who could not be familiar with it.")</f>
        <v>Teach DevOps requires much knowledge from the professor who could not be familiar with it.</v>
      </c>
      <c r="F67" s="25"/>
      <c r="G67" s="7" t="str">
        <f>if(DDivergenciasJuiz = "first",DDivergenciasEspecifico1,if (DDivergenciasJuiz = "second",DDivergenciasEspecifico2, if (DDivergenciasEspecifico1 = "", DDivergenciasEspecifico2, DDivergenciasEspecifico1)))</f>
        <v>yes</v>
      </c>
    </row>
    <row r="68">
      <c r="A68" s="27">
        <f>IFERROR(__xludf.DUMMYFUNCTION("""COMPUTED_VALUE"""),73.0)</f>
        <v>73</v>
      </c>
      <c r="B68" s="27" t="str">
        <f>IFERROR(__xludf.DUMMYFUNCTION("""COMPUTED_VALUE"""),"R2 / R3")</f>
        <v>R2 / R3</v>
      </c>
      <c r="C68" s="27" t="str">
        <f>IFERROR(__xludf.DUMMYFUNCTION("""COMPUTED_VALUE"""),"challenge")</f>
        <v>challenge</v>
      </c>
      <c r="D68" s="25" t="str">
        <f>IFERROR(__xludf.DUMMYFUNCTION("""COMPUTED_VALUE"""),"I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E68" s="25" t="str">
        <f>IFERROR(__xludf.DUMMYFUNCTION("""COMPUTED_VALUE"""),"It is arduous to analyse the code and run scripts for each project.")</f>
        <v>It is arduous to analyse the code and run scripts for each project.</v>
      </c>
      <c r="F68" s="25"/>
      <c r="G68" s="7" t="str">
        <f>if(DDivergenciasJuiz = "first",DDivergenciasEspecifico1,if (DDivergenciasJuiz = "second",DDivergenciasEspecifico2, if (DDivergenciasEspecifico1 = "", DDivergenciasEspecifico2, DDivergenciasEspecifico1)))</f>
        <v>no</v>
      </c>
    </row>
    <row r="69">
      <c r="A69" s="27">
        <f>IFERROR(__xludf.DUMMYFUNCTION("""COMPUTED_VALUE"""),74.0)</f>
        <v>74</v>
      </c>
      <c r="B69" s="27" t="str">
        <f>IFERROR(__xludf.DUMMYFUNCTION("""COMPUTED_VALUE"""),"R1 / R2")</f>
        <v>R1 / R2</v>
      </c>
      <c r="C69" s="27" t="str">
        <f>IFERROR(__xludf.DUMMYFUNCTION("""COMPUTED_VALUE"""),"challenge")</f>
        <v>challenge</v>
      </c>
      <c r="D69" s="25" t="str">
        <f>IFERROR(__xludf.DUMMYFUNCTION("""COMPUTED_VALUE"""),"We show them Kubernetes, um, but they don't really have time to practice on Kubernetes.")</f>
        <v>We show them Kubernetes, um, but they don't really have time to practice on Kubernetes.</v>
      </c>
      <c r="E69" s="25" t="str">
        <f>IFERROR(__xludf.DUMMYFUNCTION("""COMPUTED_VALUE"""),"They don't have time to practice on Kubernetes because it is lot of work.")</f>
        <v>They don't have time to practice on Kubernetes because it is lot of work.</v>
      </c>
      <c r="F69" s="25"/>
      <c r="G69" s="7" t="str">
        <f>if(DDivergenciasJuiz = "first",DDivergenciasEspecifico1,if (DDivergenciasJuiz = "second",DDivergenciasEspecifico2, if (DDivergenciasEspecifico1 = "", DDivergenciasEspecifico2, DDivergenciasEspecifico1)))</f>
        <v>yes</v>
      </c>
    </row>
    <row r="70">
      <c r="A70" s="27">
        <f>IFERROR(__xludf.DUMMYFUNCTION("""COMPUTED_VALUE"""),75.0)</f>
        <v>75</v>
      </c>
      <c r="B70" s="27" t="str">
        <f>IFERROR(__xludf.DUMMYFUNCTION("""COMPUTED_VALUE"""),"R1 / R3")</f>
        <v>R1 / R3</v>
      </c>
      <c r="C70" s="27" t="str">
        <f>IFERROR(__xludf.DUMMYFUNCTION("""COMPUTED_VALUE"""),"challenge")</f>
        <v>challenge</v>
      </c>
      <c r="D70" s="25" t="str">
        <f>IFERROR(__xludf.DUMMYFUNCTION("""COMPUTED_VALUE"""),"And as I said, we, students are doing other things. So this means we are limited in what we can ask them.")</f>
        <v>And as I said, we, students are doing other things. So this means we are limited in what we can ask them.</v>
      </c>
      <c r="E70" s="25"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F70" s="25"/>
      <c r="G70" s="7" t="str">
        <f>if(DDivergenciasJuiz = "first",DDivergenciasEspecifico1,if (DDivergenciasJuiz = "second",DDivergenciasEspecifico2, if (DDivergenciasEspecifico1 = "", DDivergenciasEspecifico2, DDivergenciasEspecifico1)))</f>
        <v>no</v>
      </c>
    </row>
    <row r="71">
      <c r="A71" s="27">
        <f>IFERROR(__xludf.DUMMYFUNCTION("""COMPUTED_VALUE"""),76.0)</f>
        <v>76</v>
      </c>
      <c r="B71" s="27" t="str">
        <f>IFERROR(__xludf.DUMMYFUNCTION("""COMPUTED_VALUE"""),"R2 / R3")</f>
        <v>R2 / R3</v>
      </c>
      <c r="C71" s="27" t="str">
        <f>IFERROR(__xludf.DUMMYFUNCTION("""COMPUTED_VALUE"""),"challenge")</f>
        <v>challenge</v>
      </c>
      <c r="D71" s="25" t="str">
        <f>IFERROR(__xludf.DUMMYFUNCTION("""COMPUTED_VALUE"""),"For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E71" s="25" t="str">
        <f>IFERROR(__xludf.DUMMYFUNCTION("""COMPUTED_VALUE"""),"Make a DevOps course attractive to the students is challenging.
Make the lectures attractive is difficult.")</f>
        <v>Make a DevOps course attractive to the students is challenging.
Make the lectures attractive is difficult.</v>
      </c>
      <c r="F71" s="25" t="str">
        <f>IFERROR(__xludf.DUMMYFUNCTION("""COMPUTED_VALUE"""),"Make a DevOps course attractive to the students is challenging.")</f>
        <v>Make a DevOps course attractive to the students is challenging.</v>
      </c>
      <c r="G71" s="7" t="str">
        <f>if(DDivergenciasJuiz = "first",DDivergenciasEspecifico1,if (DDivergenciasJuiz = "second",DDivergenciasEspecifico2, if (DDivergenciasEspecifico1 = "", DDivergenciasEspecifico2, DDivergenciasEspecifico1)))</f>
        <v>yes</v>
      </c>
    </row>
    <row r="72">
      <c r="A72" s="27">
        <f>IFERROR(__xludf.DUMMYFUNCTION("""COMPUTED_VALUE"""),77.0)</f>
        <v>77</v>
      </c>
      <c r="B72" s="27" t="str">
        <f>IFERROR(__xludf.DUMMYFUNCTION("""COMPUTED_VALUE"""),"R1 / R2")</f>
        <v>R1 / R2</v>
      </c>
      <c r="C72" s="27" t="str">
        <f>IFERROR(__xludf.DUMMYFUNCTION("""COMPUTED_VALUE"""),"challenge")</f>
        <v>challenge</v>
      </c>
      <c r="D72" s="25" t="str">
        <f>IFERROR(__xludf.DUMMYFUNCTION("""COMPUTED_VALUE"""),"The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E72" s="25"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F72" s="25" t="str">
        <f>IFERROR(__xludf.DUMMYFUNCTION("""COMPUTED_VALUE"""),"There is no convention as to what are the main DevOps concepts that should be taught.")</f>
        <v>There is no convention as to what are the main DevOps concepts that should be taught.</v>
      </c>
      <c r="G72" s="7" t="str">
        <f>if(DDivergenciasJuiz = "first",DDivergenciasEspecifico1,if (DDivergenciasJuiz = "second",DDivergenciasEspecifico2, if (DDivergenciasEspecifico1 = "", DDivergenciasEspecifico2, DDivergenciasEspecifico1)))</f>
        <v>yes</v>
      </c>
    </row>
    <row r="73">
      <c r="A73" s="27">
        <f>IFERROR(__xludf.DUMMYFUNCTION("""COMPUTED_VALUE"""),78.0)</f>
        <v>78</v>
      </c>
      <c r="B73" s="27" t="str">
        <f>IFERROR(__xludf.DUMMYFUNCTION("""COMPUTED_VALUE"""),"R1 / R3")</f>
        <v>R1 / R3</v>
      </c>
      <c r="C73" s="27" t="str">
        <f>IFERROR(__xludf.DUMMYFUNCTION("""COMPUTED_VALUE"""),"challenge")</f>
        <v>challenge</v>
      </c>
      <c r="D73" s="25" t="str">
        <f>IFERROR(__xludf.DUMMYFUNCTION("""COMPUTED_VALUE"""),"The,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E73" s="25"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F73" s="25"/>
      <c r="G73" s="7" t="str">
        <f>if(DDivergenciasJuiz = "first",DDivergenciasEspecifico1,if (DDivergenciasJuiz = "second",DDivergenciasEspecifico2, if (DDivergenciasEspecifico1 = "", DDivergenciasEspecifico2, DDivergenciasEspecifico1)))</f>
        <v>no</v>
      </c>
    </row>
    <row r="74">
      <c r="A74" s="27">
        <f>IFERROR(__xludf.DUMMYFUNCTION("""COMPUTED_VALUE"""),79.0)</f>
        <v>79</v>
      </c>
      <c r="B74" s="27" t="str">
        <f>IFERROR(__xludf.DUMMYFUNCTION("""COMPUTED_VALUE"""),"R2 / R3")</f>
        <v>R2 / R3</v>
      </c>
      <c r="C74" s="27" t="str">
        <f>IFERROR(__xludf.DUMMYFUNCTION("""COMPUTED_VALUE"""),"challenge")</f>
        <v>challenge</v>
      </c>
      <c r="D74" s="25" t="str">
        <f>IFERROR(__xludf.DUMMYFUNCTION("""COMPUTED_VALUE"""),"JIRA is quite difficult to use in industry context, um, just because of the license model then. So it's, it's too complex.")</f>
        <v>JIRA is quite difficult to use in industry context, um, just because of the license model then. So it's, it's too complex.</v>
      </c>
      <c r="E74" s="25" t="str">
        <f>IFERROR(__xludf.DUMMYFUNCTION("""COMPUTED_VALUE"""),"It's difficult to use Jira lifecycle management tool because of its licence model.")</f>
        <v>It's difficult to use Jira lifecycle management tool because of its licence model.</v>
      </c>
      <c r="F74" s="25"/>
      <c r="G74" s="7" t="str">
        <f>if(DDivergenciasJuiz = "first",DDivergenciasEspecifico1,if (DDivergenciasJuiz = "second",DDivergenciasEspecifico2, if (DDivergenciasEspecifico1 = "", DDivergenciasEspecifico2, DDivergenciasEspecifico1)))</f>
        <v>no</v>
      </c>
    </row>
    <row r="75">
      <c r="A75" s="27">
        <f>IFERROR(__xludf.DUMMYFUNCTION("""COMPUTED_VALUE"""),80.0)</f>
        <v>80</v>
      </c>
      <c r="B75" s="27" t="str">
        <f>IFERROR(__xludf.DUMMYFUNCTION("""COMPUTED_VALUE"""),"R1 / R2")</f>
        <v>R1 / R2</v>
      </c>
      <c r="C75" s="27" t="str">
        <f>IFERROR(__xludf.DUMMYFUNCTION("""COMPUTED_VALUE"""),"challenge")</f>
        <v>challenge</v>
      </c>
      <c r="D75" s="25" t="str">
        <f>IFERROR(__xludf.DUMMYFUNCTION("""COMPUTED_VALUE"""),"So one of the challenge from an environment point of view is to get something that students can relate to.")</f>
        <v>So one of the challenge from an environment point of view is to get something that students can relate to.</v>
      </c>
      <c r="E75" s="25" t="str">
        <f>IFERROR(__xludf.DUMMYFUNCTION("""COMPUTED_VALUE"""),"It's hard to find something students can relate to, from a environment point of view.")</f>
        <v>It's hard to find something students can relate to, from a environment point of view.</v>
      </c>
      <c r="F75" s="25"/>
      <c r="G75" s="7" t="str">
        <f>if(DDivergenciasJuiz = "first",DDivergenciasEspecifico1,if (DDivergenciasJuiz = "second",DDivergenciasEspecifico2, if (DDivergenciasEspecifico1 = "", DDivergenciasEspecifico2, DDivergenciasEspecifico1)))</f>
        <v>no</v>
      </c>
    </row>
    <row r="76">
      <c r="A76" s="27">
        <f>IFERROR(__xludf.DUMMYFUNCTION("""COMPUTED_VALUE"""),81.0)</f>
        <v>81</v>
      </c>
      <c r="B76" s="27" t="str">
        <f>IFERROR(__xludf.DUMMYFUNCTION("""COMPUTED_VALUE"""),"R1 / R3")</f>
        <v>R1 / R3</v>
      </c>
      <c r="C76" s="27" t="str">
        <f>IFERROR(__xludf.DUMMYFUNCTION("""COMPUTED_VALUE"""),"challenge")</f>
        <v>challenge</v>
      </c>
      <c r="D76" s="25" t="str">
        <f>IFERROR(__xludf.DUMMYFUNCTION("""COMPUTED_VALUE"""),"We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E76" s="25" t="str">
        <f>IFERROR(__xludf.DUMMYFUNCTION("""COMPUTED_VALUE"""),"There is a lack between what the industry wants from students about DevOps and what the university teaches.")</f>
        <v>There is a lack between what the industry wants from students about DevOps and what the university teaches.</v>
      </c>
      <c r="F76" s="25"/>
      <c r="G76" s="7" t="str">
        <f>if(DDivergenciasJuiz = "first",DDivergenciasEspecifico1,if (DDivergenciasJuiz = "second",DDivergenciasEspecifico2, if (DDivergenciasEspecifico1 = "", DDivergenciasEspecifico2, DDivergenciasEspecifico1)))</f>
        <v>yes</v>
      </c>
    </row>
    <row r="77">
      <c r="A77" s="27">
        <f>IFERROR(__xludf.DUMMYFUNCTION("""COMPUTED_VALUE"""),82.0)</f>
        <v>82</v>
      </c>
      <c r="B77" s="27" t="str">
        <f>IFERROR(__xludf.DUMMYFUNCTION("""COMPUTED_VALUE"""),"R2 / R3")</f>
        <v>R2 / R3</v>
      </c>
      <c r="C77" s="27" t="str">
        <f>IFERROR(__xludf.DUMMYFUNCTION("""COMPUTED_VALUE"""),"challenge")</f>
        <v>challenge</v>
      </c>
      <c r="D77" s="25" t="str">
        <f>IFERROR(__xludf.DUMMYFUNCTION("""COMPUTED_VALUE"""),"It didn't work for some specific tools that they wanted to present using this a katacoda, uh, website.")</f>
        <v>It didn't work for some specific tools that they wanted to present using this a katacoda, uh, website.</v>
      </c>
      <c r="E77" s="25" t="str">
        <f>IFERROR(__xludf.DUMMYFUNCTION("""COMPUTED_VALUE"""),"Katacoda does not work for some specific tools.")</f>
        <v>Katacoda does not work for some specific tools.</v>
      </c>
      <c r="F77" s="25"/>
      <c r="G77" s="7" t="str">
        <f>if(DDivergenciasJuiz = "first",DDivergenciasEspecifico1,if (DDivergenciasJuiz = "second",DDivergenciasEspecifico2, if (DDivergenciasEspecifico1 = "", DDivergenciasEspecifico2, DDivergenciasEspecifico1)))</f>
        <v>no</v>
      </c>
    </row>
    <row r="78">
      <c r="A78" s="27">
        <f>IFERROR(__xludf.DUMMYFUNCTION("""COMPUTED_VALUE"""),83.0)</f>
        <v>83</v>
      </c>
      <c r="B78" s="27" t="str">
        <f>IFERROR(__xludf.DUMMYFUNCTION("""COMPUTED_VALUE"""),"R1 / R2")</f>
        <v>R1 / R2</v>
      </c>
      <c r="C78" s="27" t="str">
        <f>IFERROR(__xludf.DUMMYFUNCTION("""COMPUTED_VALUE"""),"challenge")</f>
        <v>challenge</v>
      </c>
      <c r="D78" s="25" t="str">
        <f>IFERROR(__xludf.DUMMYFUNCTION("""COMPUTED_VALUE"""),"Since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E78" s="25"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F78" s="25"/>
      <c r="G78" s="7" t="str">
        <f>if(DDivergenciasJuiz = "first",DDivergenciasEspecifico1,if (DDivergenciasJuiz = "second",DDivergenciasEspecifico2, if (DDivergenciasEspecifico1 = "", DDivergenciasEspecifico2, DDivergenciasEspecifico1)))</f>
        <v>no</v>
      </c>
    </row>
    <row r="79">
      <c r="A79" s="27">
        <f>IFERROR(__xludf.DUMMYFUNCTION("""COMPUTED_VALUE"""),84.0)</f>
        <v>84</v>
      </c>
      <c r="B79" s="27" t="str">
        <f>IFERROR(__xludf.DUMMYFUNCTION("""COMPUTED_VALUE"""),"R1 / R3")</f>
        <v>R1 / R3</v>
      </c>
      <c r="C79" s="27" t="str">
        <f>IFERROR(__xludf.DUMMYFUNCTION("""COMPUTED_VALUE"""),"challenge")</f>
        <v>challenge</v>
      </c>
      <c r="D79" s="25" t="str">
        <f>IFERROR(__xludf.DUMMYFUNCTION("""COMPUTED_VALUE"""),"It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E79" s="25"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F79" s="25"/>
      <c r="G79" s="7" t="str">
        <f>if(DDivergenciasJuiz = "first",DDivergenciasEspecifico1,if (DDivergenciasJuiz = "second",DDivergenciasEspecifico2, if (DDivergenciasEspecifico1 = "", DDivergenciasEspecifico2, DDivergenciasEspecifico1)))</f>
        <v>no</v>
      </c>
    </row>
    <row r="80">
      <c r="A80" s="27">
        <f>IFERROR(__xludf.DUMMYFUNCTION("""COMPUTED_VALUE"""),85.0)</f>
        <v>85</v>
      </c>
      <c r="B80" s="27" t="str">
        <f>IFERROR(__xludf.DUMMYFUNCTION("""COMPUTED_VALUE"""),"R2 / R3")</f>
        <v>R2 / R3</v>
      </c>
      <c r="C80" s="27" t="str">
        <f>IFERROR(__xludf.DUMMYFUNCTION("""COMPUTED_VALUE"""),"challenge")</f>
        <v>challenge</v>
      </c>
      <c r="D80" s="25" t="str">
        <f>IFERROR(__xludf.DUMMYFUNCTION("""COMPUTED_VALUE"""),"How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E80" s="25" t="str">
        <f>IFERROR(__xludf.DUMMYFUNCTION("""COMPUTED_VALUE"""),"It is difficult to students understand how the pipeline deployment works and not just running it.")</f>
        <v>It is difficult to students understand how the pipeline deployment works and not just running it.</v>
      </c>
      <c r="F80" s="25"/>
      <c r="G80" s="7" t="str">
        <f>if(DDivergenciasJuiz = "first",DDivergenciasEspecifico1,if (DDivergenciasJuiz = "second",DDivergenciasEspecifico2, if (DDivergenciasEspecifico1 = "", DDivergenciasEspecifico2, DDivergenciasEspecifico1)))</f>
        <v>yes</v>
      </c>
    </row>
    <row r="81">
      <c r="A81" s="27">
        <f>IFERROR(__xludf.DUMMYFUNCTION("""COMPUTED_VALUE"""),86.0)</f>
        <v>86</v>
      </c>
      <c r="B81" s="27" t="str">
        <f>IFERROR(__xludf.DUMMYFUNCTION("""COMPUTED_VALUE"""),"R1 / R2")</f>
        <v>R1 / R2</v>
      </c>
      <c r="C81" s="27" t="str">
        <f>IFERROR(__xludf.DUMMYFUNCTION("""COMPUTED_VALUE"""),"challenge")</f>
        <v>challenge</v>
      </c>
      <c r="D81" s="25" t="str">
        <f>IFERROR(__xludf.DUMMYFUNCTION("""COMPUTED_VALUE"""),"We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E81" s="25"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F81" s="25" t="str">
        <f>IFERROR(__xludf.DUMMYFUNCTION("""COMPUTED_VALUE"""),"Debugging lab sessions are very difficult.")</f>
        <v>Debugging lab sessions are very difficult.</v>
      </c>
      <c r="G81" s="7" t="str">
        <f>if(DDivergenciasJuiz = "first",DDivergenciasEspecifico1,if (DDivergenciasJuiz = "second",DDivergenciasEspecifico2, if (DDivergenciasEspecifico1 = "", DDivergenciasEspecifico2, DDivergenciasEspecifico1)))</f>
        <v>yes</v>
      </c>
    </row>
    <row r="82">
      <c r="A82" s="27">
        <f>IFERROR(__xludf.DUMMYFUNCTION("""COMPUTED_VALUE"""),87.0)</f>
        <v>87</v>
      </c>
      <c r="B82" s="27" t="str">
        <f>IFERROR(__xludf.DUMMYFUNCTION("""COMPUTED_VALUE"""),"R1 / R3")</f>
        <v>R1 / R3</v>
      </c>
      <c r="C82" s="27" t="str">
        <f>IFERROR(__xludf.DUMMYFUNCTION("""COMPUTED_VALUE"""),"challenge")</f>
        <v>challenge</v>
      </c>
      <c r="D82" s="25" t="str">
        <f>IFERROR(__xludf.DUMMYFUNCTION("""COMPUTED_VALUE"""),"Your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E82" s="25" t="str">
        <f>IFERROR(__xludf.DUMMYFUNCTION("""COMPUTED_VALUE"""),"Bamboo continuous integration does not work with 120 students running pipeline at the same time.")</f>
        <v>Bamboo continuous integration does not work with 120 students running pipeline at the same time.</v>
      </c>
      <c r="F82" s="25"/>
      <c r="G82" s="7" t="str">
        <f>if(DDivergenciasJuiz = "first",DDivergenciasEspecifico1,if (DDivergenciasJuiz = "second",DDivergenciasEspecifico2, if (DDivergenciasEspecifico1 = "", DDivergenciasEspecifico2, DDivergenciasEspecifico1)))</f>
        <v>yes</v>
      </c>
    </row>
    <row r="83">
      <c r="A83" s="27">
        <f>IFERROR(__xludf.DUMMYFUNCTION("""COMPUTED_VALUE"""),88.0)</f>
        <v>88</v>
      </c>
      <c r="B83" s="27" t="str">
        <f>IFERROR(__xludf.DUMMYFUNCTION("""COMPUTED_VALUE"""),"R2 / R3")</f>
        <v>R2 / R3</v>
      </c>
      <c r="C83" s="27" t="str">
        <f>IFERROR(__xludf.DUMMYFUNCTION("""COMPUTED_VALUE"""),"challenge")</f>
        <v>challenge</v>
      </c>
      <c r="D83" s="25" t="str">
        <f>IFERROR(__xludf.DUMMYFUNCTION("""COMPUTED_VALUE"""),"He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E83" s="25" t="str">
        <f>IFERROR(__xludf.DUMMYFUNCTION("""COMPUTED_VALUE"""),"It is really difficult to quantitative grade scale on the description and the justification of case studies.")</f>
        <v>It is really difficult to quantitative grade scale on the description and the justification of case studies.</v>
      </c>
      <c r="F83" s="25"/>
      <c r="G83" s="7" t="str">
        <f>if(DDivergenciasJuiz = "first",DDivergenciasEspecifico1,if (DDivergenciasJuiz = "second",DDivergenciasEspecifico2, if (DDivergenciasEspecifico1 = "", DDivergenciasEspecifico2, DDivergenciasEspecifico1)))</f>
        <v>no</v>
      </c>
    </row>
    <row r="84">
      <c r="A84" s="27">
        <f>IFERROR(__xludf.DUMMYFUNCTION("""COMPUTED_VALUE"""),90.0)</f>
        <v>90</v>
      </c>
      <c r="B84" s="27" t="str">
        <f>IFERROR(__xludf.DUMMYFUNCTION("""COMPUTED_VALUE"""),"R1 / R3")</f>
        <v>R1 / R3</v>
      </c>
      <c r="C84" s="27" t="str">
        <f>IFERROR(__xludf.DUMMYFUNCTION("""COMPUTED_VALUE"""),"challenge")</f>
        <v>challenge</v>
      </c>
      <c r="D84" s="25" t="str">
        <f>IFERROR(__xludf.DUMMYFUNCTION("""COMPUTED_VALUE"""),"Like,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E84" s="25" t="str">
        <f>IFERROR(__xludf.DUMMYFUNCTION("""COMPUTED_VALUE"""),"There is no consensus if DevOps course should be mandatory or optional.")</f>
        <v>There is no consensus if DevOps course should be mandatory or optional.</v>
      </c>
      <c r="F84" s="25"/>
      <c r="G84" s="7" t="str">
        <f>if(DDivergenciasJuiz = "first",DDivergenciasEspecifico1,if (DDivergenciasJuiz = "second",DDivergenciasEspecifico2, if (DDivergenciasEspecifico1 = "", DDivergenciasEspecifico2, DDivergenciasEspecifico1)))</f>
        <v>yes</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7.14"/>
    <col customWidth="1" min="2" max="2" width="24.43"/>
    <col customWidth="1" min="3" max="3" width="79.14"/>
    <col customWidth="1" min="4" max="5" width="59.0"/>
    <col customWidth="1" min="6" max="6" width="28.71"/>
    <col customWidth="1" min="7" max="7" width="47.43"/>
  </cols>
  <sheetData>
    <row r="1">
      <c r="A1" s="1" t="s">
        <v>0</v>
      </c>
      <c r="B1" s="1" t="s">
        <v>1</v>
      </c>
      <c r="C1" s="13" t="s">
        <v>2</v>
      </c>
      <c r="D1" s="13" t="s">
        <v>3</v>
      </c>
      <c r="E1" s="13" t="s">
        <v>4</v>
      </c>
      <c r="F1" s="4" t="s">
        <v>5</v>
      </c>
      <c r="G1" s="4" t="s">
        <v>6</v>
      </c>
    </row>
    <row r="2">
      <c r="A2" s="5">
        <v>1.0</v>
      </c>
      <c r="B2" s="6" t="s">
        <v>31</v>
      </c>
      <c r="C2" s="5"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D2" s="5"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E2" s="5" t="str">
        <f>IFERROR(__xludf.DUMMYFUNCTION("""COMPUTED_VALUE"""),"Use cloud provider services with students plans.")</f>
        <v>Use cloud provider services with students plans.</v>
      </c>
      <c r="F2" s="7" t="s">
        <v>8</v>
      </c>
      <c r="G2" s="7"/>
    </row>
    <row r="3" ht="69.75" customHeight="1">
      <c r="A3" s="5">
        <v>2.0</v>
      </c>
      <c r="B3" s="6" t="s">
        <v>31</v>
      </c>
      <c r="C3" s="5"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D3" s="5"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E3" s="5" t="str">
        <f>IFERROR(__xludf.DUMMYFUNCTION("""COMPUTED_VALUE"""),"Build scenarios that students can run on their own computer.")</f>
        <v>Build scenarios that students can run on their own computer.</v>
      </c>
      <c r="F3" s="7" t="s">
        <v>8</v>
      </c>
      <c r="G3" s="7"/>
    </row>
    <row r="4" ht="115.5" customHeight="1">
      <c r="A4" s="5">
        <v>4.0</v>
      </c>
      <c r="B4" s="6" t="s">
        <v>31</v>
      </c>
      <c r="C4" s="5" t="str">
        <f>IFERROR(__xludf.DUMMYFUNCTION("filter('Imported Recommendations'!B:D,'Imported Recommendations'!A:A=A4)"),"This was somehow harmonized.")</f>
        <v>This was somehow harmonized.</v>
      </c>
      <c r="D4" s="5" t="str">
        <f>IFERROR(__xludf.DUMMYFUNCTION("""COMPUTED_VALUE"""),"Define what are the devops concepts.")</f>
        <v>Define what are the devops concepts.</v>
      </c>
      <c r="E4" s="5"/>
      <c r="F4" s="7" t="s">
        <v>9</v>
      </c>
      <c r="G4" s="7"/>
    </row>
    <row r="5" ht="134.25" customHeight="1">
      <c r="A5" s="5">
        <v>5.0</v>
      </c>
      <c r="B5" s="6" t="s">
        <v>31</v>
      </c>
      <c r="C5" s="5"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D5" s="5"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E5" s="5" t="str">
        <f>IFERROR(__xludf.DUMMYFUNCTION("""COMPUTED_VALUE"""),"The assess should be with hands-on activity.")</f>
        <v>The assess should be with hands-on activity.</v>
      </c>
      <c r="F5" s="7" t="s">
        <v>9</v>
      </c>
      <c r="G5" s="7"/>
    </row>
    <row r="6" ht="221.25" customHeight="1">
      <c r="A6" s="5">
        <v>7.0</v>
      </c>
      <c r="B6" s="6" t="s">
        <v>31</v>
      </c>
      <c r="C6" s="5" t="str">
        <f>IFERROR(__xludf.DUMMYFUNCTION("filter('Imported Recommendations'!B:D,'Imported Recommendations'!A:A=A6)"),"I think a potential candidate is GNS3.")</f>
        <v>I think a potential candidate is GNS3.</v>
      </c>
      <c r="D6" s="5" t="str">
        <f>IFERROR(__xludf.DUMMYFUNCTION("""COMPUTED_VALUE"""),"The GNS3 tool is a potential candidate as a tool for teaching DevOps.")</f>
        <v>The GNS3 tool is a potential candidate as a tool for teaching DevOps.</v>
      </c>
      <c r="E6" s="5"/>
      <c r="F6" s="7" t="s">
        <v>9</v>
      </c>
      <c r="G6" s="7"/>
    </row>
    <row r="7" ht="134.25" customHeight="1">
      <c r="A7" s="5">
        <v>8.0</v>
      </c>
      <c r="B7" s="6" t="s">
        <v>31</v>
      </c>
      <c r="C7" s="5"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D7" s="5" t="str">
        <f>IFERROR(__xludf.DUMMYFUNCTION("""COMPUTED_VALUE"""),"Ansible as deployment automation tools can be used in teaching DevOps.")</f>
        <v>Ansible as deployment automation tools can be used in teaching DevOps.</v>
      </c>
      <c r="E7" s="5"/>
      <c r="F7" s="7" t="s">
        <v>9</v>
      </c>
      <c r="G7" s="7"/>
    </row>
    <row r="8" ht="134.25" customHeight="1">
      <c r="A8" s="5">
        <v>9.0</v>
      </c>
      <c r="B8" s="6" t="s">
        <v>31</v>
      </c>
      <c r="C8" s="5"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D8" s="5"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E8" s="5" t="str">
        <f>IFERROR(__xludf.DUMMYFUNCTION("""COMPUTED_VALUE"""),"Teaching method based on practical activities.")</f>
        <v>Teaching method based on practical activities.</v>
      </c>
      <c r="F8" s="7" t="s">
        <v>8</v>
      </c>
      <c r="G8" s="7"/>
    </row>
    <row r="9" ht="134.25" customHeight="1">
      <c r="A9" s="5">
        <v>10.0</v>
      </c>
      <c r="B9" s="6" t="s">
        <v>31</v>
      </c>
      <c r="C9" s="5"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D9" s="5"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E9" s="5" t="str">
        <f>IFERROR(__xludf.DUMMYFUNCTION("""COMPUTED_VALUE"""),"Focus more on the practical part compared to the theoretical part of DevOps.")</f>
        <v>Focus more on the practical part compared to the theoretical part of DevOps.</v>
      </c>
      <c r="F9" s="7" t="s">
        <v>9</v>
      </c>
      <c r="G9" s="7"/>
    </row>
    <row r="10" ht="123.75" customHeight="1">
      <c r="A10" s="5">
        <v>11.0</v>
      </c>
      <c r="B10" s="6" t="s">
        <v>31</v>
      </c>
      <c r="C10" s="5"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D10" s="5"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E10" s="5" t="str">
        <f>IFERROR(__xludf.DUMMYFUNCTION("""COMPUTED_VALUE"""),"Divide the workload of subjects that are related to networking and programming.")</f>
        <v>Divide the workload of subjects that are related to networking and programming.</v>
      </c>
      <c r="F10" s="7" t="s">
        <v>9</v>
      </c>
      <c r="G10" s="7"/>
    </row>
    <row r="11" ht="123.75" customHeight="1">
      <c r="A11" s="5">
        <v>12.0</v>
      </c>
      <c r="B11" s="6" t="s">
        <v>31</v>
      </c>
      <c r="C11" s="5"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D11" s="5"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E11" s="5" t="str">
        <f>IFERROR(__xludf.DUMMYFUNCTION("""COMPUTED_VALUE"""),"Delegate the responsibility for finding adequate infrastructure for the student.")</f>
        <v>Delegate the responsibility for finding adequate infrastructure for the student.</v>
      </c>
      <c r="F11" s="7" t="s">
        <v>8</v>
      </c>
      <c r="G11" s="7"/>
    </row>
    <row r="12" ht="123.75" customHeight="1">
      <c r="A12" s="5">
        <v>13.0</v>
      </c>
      <c r="B12" s="6" t="s">
        <v>31</v>
      </c>
      <c r="C12" s="5"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D12" s="5"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E12" s="5" t="str">
        <f>IFERROR(__xludf.DUMMYFUNCTION("""COMPUTED_VALUE"""),"Use a textbook as a basis to guide the course classes.")</f>
        <v>Use a textbook as a basis to guide the course classes.</v>
      </c>
      <c r="F12" s="7" t="s">
        <v>8</v>
      </c>
      <c r="G12" s="7"/>
    </row>
    <row r="13" ht="123.75" customHeight="1">
      <c r="A13" s="5">
        <v>14.0</v>
      </c>
      <c r="B13" s="6" t="s">
        <v>31</v>
      </c>
      <c r="C13" s="5"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D13" s="5" t="str">
        <f>IFERROR(__xludf.DUMMYFUNCTION("""COMPUTED_VALUE"""),"Work on improving students' skills related to non-functional requirements.")</f>
        <v>Work on improving students' skills related to non-functional requirements.</v>
      </c>
      <c r="E13" s="5"/>
      <c r="F13" s="7" t="s">
        <v>8</v>
      </c>
      <c r="G13" s="30"/>
    </row>
    <row r="14" ht="123.75" customHeight="1">
      <c r="A14" s="5">
        <v>15.0</v>
      </c>
      <c r="B14" s="6" t="s">
        <v>31</v>
      </c>
      <c r="C14" s="5"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D14" s="5"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E14" s="5" t="str">
        <f>IFERROR(__xludf.DUMMYFUNCTION("""COMPUTED_VALUE"""),"Use a learning tool to easy the DevOps teaching.")</f>
        <v>Use a learning tool to easy the DevOps teaching.</v>
      </c>
      <c r="F14" s="7" t="s">
        <v>9</v>
      </c>
      <c r="G14" s="30"/>
    </row>
    <row r="15">
      <c r="A15" s="5">
        <v>16.0</v>
      </c>
      <c r="B15" s="6" t="s">
        <v>31</v>
      </c>
      <c r="C15" s="5" t="str">
        <f>IFERROR(__xludf.DUMMYFUNCTION("filter('Imported Recommendations'!B:D,'Imported Recommendations'!A:A=A15)"),"The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D15" s="5"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E15" s="5" t="str">
        <f>IFERROR(__xludf.DUMMYFUNCTION("""COMPUTED_VALUE"""),"DevOps deserves a discipline in the curriculum.")</f>
        <v>DevOps deserves a discipline in the curriculum.</v>
      </c>
      <c r="F15" s="7" t="s">
        <v>9</v>
      </c>
      <c r="G15" s="4"/>
    </row>
    <row r="16">
      <c r="A16" s="5">
        <v>17.0</v>
      </c>
      <c r="B16" s="6" t="s">
        <v>31</v>
      </c>
      <c r="C16" s="5" t="str">
        <f>IFERROR(__xludf.DUMMYFUNCTION("filter('Imported Recommendations'!B:D,'Imported Recommendations'!A:A=A16)"),"We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D16" s="5"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E16" s="5" t="str">
        <f>IFERROR(__xludf.DUMMYFUNCTION("""COMPUTED_VALUE"""),"Evaluate level of participation and difficulty of students in teamwork.")</f>
        <v>Evaluate level of participation and difficulty of students in teamwork.</v>
      </c>
      <c r="F16" s="7" t="s">
        <v>8</v>
      </c>
      <c r="G16" s="7"/>
    </row>
    <row r="17">
      <c r="A17" s="5">
        <v>19.0</v>
      </c>
      <c r="B17" s="6" t="s">
        <v>31</v>
      </c>
      <c r="C17" s="5" t="str">
        <f>IFERROR(__xludf.DUMMYFUNCTION("filter('Imported Recommendations'!B:D,'Imported Recommendations'!A:A=A17)"),"Usually,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D17" s="5" t="str">
        <f>IFERROR(__xludf.DUMMYFUNCTION("""COMPUTED_VALUE"""),"Ask students to adopt the tools used by instructors.")</f>
        <v>Ask students to adopt the tools used by instructors.</v>
      </c>
      <c r="E17" s="5"/>
      <c r="F17" s="7" t="s">
        <v>8</v>
      </c>
      <c r="G17" s="7"/>
    </row>
    <row r="18">
      <c r="A18" s="5">
        <v>20.0</v>
      </c>
      <c r="B18" s="6" t="s">
        <v>31</v>
      </c>
      <c r="C18" s="5" t="str">
        <f>IFERROR(__xludf.DUMMYFUNCTION("filter('Imported Recommendations'!B:D,'Imported Recommendations'!A:A=A18)"),"Suppose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D18" s="5"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E18" s="5"/>
      <c r="F18" s="7" t="s">
        <v>9</v>
      </c>
      <c r="G18" s="7"/>
    </row>
    <row r="19">
      <c r="A19" s="5">
        <v>22.0</v>
      </c>
      <c r="B19" s="6" t="s">
        <v>31</v>
      </c>
      <c r="C19" s="5" t="str">
        <f>IFERROR(__xludf.DUMMYFUNCTION("filter('Imported Recommendations'!B:D,'Imported Recommendations'!A:A=A19)"),"They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D19" s="5" t="str">
        <f>IFERROR(__xludf.DUMMYFUNCTION("""COMPUTED_VALUE"""),"Adopt a more professional approach in which teachers act as clients.")</f>
        <v>Adopt a more professional approach in which teachers act as clients.</v>
      </c>
      <c r="E19" s="5"/>
      <c r="F19" s="7" t="s">
        <v>8</v>
      </c>
      <c r="G19" s="9"/>
    </row>
    <row r="20">
      <c r="A20" s="5">
        <v>23.0</v>
      </c>
      <c r="B20" s="6" t="s">
        <v>31</v>
      </c>
      <c r="C20" s="5" t="str">
        <f>IFERROR(__xludf.DUMMYFUNCTION("filter('Imported Recommendations'!B:D,'Imported Recommendations'!A:A=A20)"),"The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D20" s="5" t="str">
        <f>IFERROR(__xludf.DUMMYFUNCTION("""COMPUTED_VALUE"""),"The Continuous Integration and industry tools must be in the curricula.")</f>
        <v>The Continuous Integration and industry tools must be in the curricula.</v>
      </c>
      <c r="E20" s="5"/>
      <c r="F20" s="7" t="s">
        <v>9</v>
      </c>
      <c r="G20" s="7"/>
    </row>
    <row r="21">
      <c r="A21" s="5">
        <v>24.0</v>
      </c>
      <c r="B21" s="6" t="s">
        <v>31</v>
      </c>
      <c r="C21" s="5" t="str">
        <f>IFERROR(__xludf.DUMMYFUNCTION("filter('Imported Recommendations'!B:D,'Imported Recommendations'!A:A=A21)"),"But as there isn't, we find different materials; we have several publications.")</f>
        <v>But as there isn't, we find different materials; we have several publications.</v>
      </c>
      <c r="D21" s="5"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E21" s="5"/>
      <c r="F21" s="7" t="s">
        <v>8</v>
      </c>
      <c r="G21" s="7"/>
    </row>
    <row r="22">
      <c r="A22" s="5">
        <v>25.0</v>
      </c>
      <c r="B22" s="6" t="s">
        <v>31</v>
      </c>
      <c r="C22" s="5" t="str">
        <f>IFERROR(__xludf.DUMMYFUNCTION("filter('Imported Recommendations'!B:D,'Imported Recommendations'!A:A=A22)"),"[...]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D22" s="5"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E22" s="5"/>
      <c r="F22" s="7" t="s">
        <v>8</v>
      </c>
      <c r="G22" s="7"/>
    </row>
    <row r="23">
      <c r="A23" s="5">
        <v>26.0</v>
      </c>
      <c r="B23" s="6" t="s">
        <v>31</v>
      </c>
      <c r="C23" s="5" t="str">
        <f>IFERROR(__xludf.DUMMYFUNCTION("filter('Imported Recommendations'!B:D,'Imported Recommendations'!A:A=A23)"),"The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D23" s="5" t="str">
        <f>IFERROR(__xludf.DUMMYFUNCTION("""COMPUTED_VALUE"""),"You can use the same discipline of DevOps for operation groups focused on safety and development groups.")</f>
        <v>You can use the same discipline of DevOps for operation groups focused on safety and development groups.</v>
      </c>
      <c r="E23" s="5"/>
      <c r="F23" s="7" t="s">
        <v>9</v>
      </c>
      <c r="G23" s="7"/>
    </row>
    <row r="24">
      <c r="A24" s="5">
        <v>29.0</v>
      </c>
      <c r="B24" s="6" t="s">
        <v>31</v>
      </c>
      <c r="C24" s="5" t="str">
        <f>IFERROR(__xludf.DUMMYFUNCTION("filter('Imported Recommendations'!B:D,'Imported Recommendations'!A:A=A24)"),"The recommendation is to understand the learning context of the class.
Adapt the menu according to the student profile you have.")</f>
        <v>The recommendation is to understand the learning context of the class.
Adapt the menu according to the student profile you have.</v>
      </c>
      <c r="D24" s="5" t="str">
        <f>IFERROR(__xludf.DUMMYFUNCTION("""COMPUTED_VALUE"""),"Identify the most compatible DevOps scope for each class.
Adapt the course according to the profile of students.")</f>
        <v>Identify the most compatible DevOps scope for each class.
Adapt the course according to the profile of students.</v>
      </c>
      <c r="E24" s="5" t="str">
        <f>IFERROR(__xludf.DUMMYFUNCTION("""COMPUTED_VALUE"""),"Identify the most compatible DevOps scope for each class.")</f>
        <v>Identify the most compatible DevOps scope for each class.</v>
      </c>
      <c r="F24" s="7" t="s">
        <v>9</v>
      </c>
      <c r="G24" s="31"/>
    </row>
    <row r="25">
      <c r="A25" s="5">
        <v>32.0</v>
      </c>
      <c r="B25" s="6" t="s">
        <v>31</v>
      </c>
      <c r="C25" s="5" t="str">
        <f>IFERROR(__xludf.DUMMYFUNCTION("filter('Imported Recommendations'!B:D,'Imported Recommendations'!A:A=A25)"),"Present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D25" s="5"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E25" s="5" t="str">
        <f>IFERROR(__xludf.DUMMYFUNCTION("""COMPUTED_VALUE"""),"Introduce well-established concepts by the DevOps community, such as the DevOps pipeline process.")</f>
        <v>Introduce well-established concepts by the DevOps community, such as the DevOps pipeline process.</v>
      </c>
      <c r="F25" s="7" t="s">
        <v>9</v>
      </c>
      <c r="G25" s="7"/>
    </row>
    <row r="26">
      <c r="A26" s="5">
        <v>34.0</v>
      </c>
      <c r="B26" s="6" t="s">
        <v>31</v>
      </c>
      <c r="C26" s="10" t="str">
        <f>IFERROR(__xludf.DUMMYFUNCTION("filter('Imported Recommendations'!B:D,'Imported Recommendations'!A:A=A26)"),"Always start with culture before moving on to teaching or tool-based demonstration.")</f>
        <v>Always start with culture before moving on to teaching or tool-based demonstration.</v>
      </c>
      <c r="D26" s="10" t="str">
        <f>IFERROR(__xludf.DUMMYFUNCTION("""COMPUTED_VALUE"""),"Start teaching DevOps from the culture. Only then demonstrate with tools.")</f>
        <v>Start teaching DevOps from the culture. Only then demonstrate with tools.</v>
      </c>
      <c r="E26" s="10"/>
      <c r="F26" s="7" t="s">
        <v>9</v>
      </c>
      <c r="G26" s="7"/>
    </row>
    <row r="27">
      <c r="A27" s="5">
        <v>35.0</v>
      </c>
      <c r="B27" s="6" t="s">
        <v>31</v>
      </c>
      <c r="C27" s="10" t="str">
        <f>IFERROR(__xludf.DUMMYFUNCTION("filter('Imported Recommendations'!B:D,'Imported Recommendations'!A:A=A27)"),"Build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D27" s="5"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E27" s="5" t="str">
        <f>IFERROR(__xludf.DUMMYFUNCTION("""COMPUTED_VALUE"""),"Delimit a specific set of tools to build a scenario.")</f>
        <v>Delimit a specific set of tools to build a scenario.</v>
      </c>
      <c r="F27" s="7" t="s">
        <v>8</v>
      </c>
      <c r="G27" s="7"/>
    </row>
    <row r="28">
      <c r="A28" s="5">
        <v>37.0</v>
      </c>
      <c r="B28" s="6" t="s">
        <v>31</v>
      </c>
      <c r="C28" s="5" t="str">
        <f>IFERROR(__xludf.DUMMYFUNCTION("filter('Imported Recommendations'!B:D,'Imported Recommendations'!A:A=A28)"),"Put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D28" s="5"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E28" s="5" t="str">
        <f>IFERROR(__xludf.DUMMYFUNCTION("""COMPUTED_VALUE"""),"Promotes discussions about DevOps concepts and related issues.")</f>
        <v>Promotes discussions about DevOps concepts and related issues.</v>
      </c>
      <c r="F28" s="7" t="s">
        <v>8</v>
      </c>
      <c r="G28" s="7"/>
    </row>
    <row r="29">
      <c r="A29" s="5">
        <v>38.0</v>
      </c>
      <c r="B29" s="6" t="s">
        <v>31</v>
      </c>
      <c r="C29" s="5" t="str">
        <f>IFERROR(__xludf.DUMMYFUNCTION("filter('Imported Recommendations'!B:D,'Imported Recommendations'!A:A=A29)"),"This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D29" s="5"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E29" s="5"/>
      <c r="F29" s="7" t="s">
        <v>8</v>
      </c>
      <c r="G29" s="31"/>
    </row>
    <row r="30">
      <c r="A30" s="5">
        <v>40.0</v>
      </c>
      <c r="B30" s="6" t="s">
        <v>31</v>
      </c>
      <c r="C30" s="5" t="str">
        <f>IFERROR(__xludf.DUMMYFUNCTION("filter('Imported Recommendations'!B:D,'Imported Recommendations'!A:A=A30)"),"For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D30" s="5"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E30" s="5"/>
      <c r="F30" s="7" t="s">
        <v>9</v>
      </c>
      <c r="G30" s="7"/>
    </row>
    <row r="31">
      <c r="A31" s="5">
        <v>41.0</v>
      </c>
      <c r="B31" s="6" t="s">
        <v>31</v>
      </c>
      <c r="C31" s="10" t="str">
        <f>IFERROR(__xludf.DUMMYFUNCTION("filter('Imported Recommendations'!B:D,'Imported Recommendations'!A:A=A31)"),"Always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D31" s="10"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E31" s="10" t="str">
        <f>IFERROR(__xludf.DUMMYFUNCTION("""COMPUTED_VALUE"""),"Teach the DevOps mindset.")</f>
        <v>Teach the DevOps mindset.</v>
      </c>
      <c r="F31" s="7" t="s">
        <v>9</v>
      </c>
      <c r="G31" s="7"/>
    </row>
    <row r="32">
      <c r="A32" s="5">
        <v>43.0</v>
      </c>
      <c r="B32" s="6" t="s">
        <v>31</v>
      </c>
      <c r="C32" s="5" t="str">
        <f>IFERROR(__xludf.DUMMYFUNCTION("filter('Imported Recommendations'!B:D,'Imported Recommendations'!A:A=A32)"),"And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D32" s="5"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E32" s="5" t="str">
        <f>IFERROR(__xludf.DUMMYFUNCTION("""COMPUTED_VALUE"""),"Customize the teaching based on students background.")</f>
        <v>Customize the teaching based on students background.</v>
      </c>
      <c r="F32" s="7" t="s">
        <v>8</v>
      </c>
      <c r="G32" s="7"/>
    </row>
    <row r="33">
      <c r="A33" s="5">
        <v>44.0</v>
      </c>
      <c r="B33" s="6" t="s">
        <v>31</v>
      </c>
      <c r="C33" s="5" t="str">
        <f>IFERROR(__xludf.DUMMYFUNCTION("filter('Imported Recommendations'!B:D,'Imported Recommendations'!A:A=A33)"),"Nor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D33" s="5"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E33" s="5"/>
      <c r="F33" s="4" t="s">
        <v>8</v>
      </c>
      <c r="G33" s="7"/>
    </row>
    <row r="34">
      <c r="A34" s="5">
        <v>46.0</v>
      </c>
      <c r="B34" s="6" t="s">
        <v>31</v>
      </c>
      <c r="C34" s="5" t="str">
        <f>IFERROR(__xludf.DUMMYFUNCTION("filter('Imported Recommendations'!B:D,'Imported Recommendations'!A:A=A34)"),"To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D34" s="5"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E34" s="5" t="str">
        <f>IFERROR(__xludf.DUMMYFUNCTION("""COMPUTED_VALUE"""),"Interact with the students.")</f>
        <v>Interact with the students.</v>
      </c>
      <c r="F34" s="7" t="s">
        <v>8</v>
      </c>
      <c r="G34" s="7"/>
    </row>
    <row r="35">
      <c r="A35" s="5">
        <v>49.0</v>
      </c>
      <c r="B35" s="6" t="s">
        <v>31</v>
      </c>
      <c r="C35" s="5" t="str">
        <f>IFERROR(__xludf.DUMMYFUNCTION("filter('Imported Recommendations'!B:D,'Imported Recommendations'!A:A=A35)"),"Suppose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D35" s="5"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E35" s="5" t="str">
        <f>IFERROR(__xludf.DUMMYFUNCTION("""COMPUTED_VALUE"""),"Seek to know in advance the needs and limitations of the class.")</f>
        <v>Seek to know in advance the needs and limitations of the class.</v>
      </c>
      <c r="F35" s="7" t="s">
        <v>8</v>
      </c>
      <c r="G35" s="7"/>
    </row>
    <row r="36">
      <c r="A36" s="5">
        <v>52.0</v>
      </c>
      <c r="B36" s="6" t="s">
        <v>31</v>
      </c>
      <c r="C36" s="10" t="str">
        <f>IFERROR(__xludf.DUMMYFUNCTION("filter('Imported Recommendations'!B:D,'Imported Recommendations'!A:A=A36)"),"These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D36" s="17"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E36" s="17" t="str">
        <f>IFERROR(__xludf.DUMMYFUNCTION("""COMPUTED_VALUE"""),"Create tutorials to help students.")</f>
        <v>Create tutorials to help students.</v>
      </c>
      <c r="F36" s="7" t="s">
        <v>8</v>
      </c>
      <c r="G36" s="7"/>
    </row>
    <row r="37">
      <c r="A37" s="5">
        <v>53.0</v>
      </c>
      <c r="B37" s="6" t="s">
        <v>31</v>
      </c>
      <c r="C37" s="10" t="str">
        <f>IFERROR(__xludf.DUMMYFUNCTION("filter('Imported Recommendations'!B:D,'Imported Recommendations'!A:A=A37)"),"So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D37" s="10"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E37" s="10" t="str">
        <f>IFERROR(__xludf.DUMMYFUNCTION("""COMPUTED_VALUE"""),"Simulate real problems with the students.")</f>
        <v>Simulate real problems with the students.</v>
      </c>
      <c r="F37" s="7" t="s">
        <v>8</v>
      </c>
      <c r="G37" s="7"/>
    </row>
    <row r="38">
      <c r="A38" s="5">
        <v>55.0</v>
      </c>
      <c r="B38" s="6" t="s">
        <v>31</v>
      </c>
      <c r="C38" s="10" t="str">
        <f>IFERROR(__xludf.DUMMYFUNCTION("filter('Imported Recommendations'!B:D,'Imported Recommendations'!A:A=A38)"),"Realize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D38" s="10" t="str">
        <f>IFERROR(__xludf.DUMMYFUNCTION("""COMPUTED_VALUE"""),"Avoid messing around with specific problems faced by students, dealing in a personalized way at the right time.")</f>
        <v>Avoid messing around with specific problems faced by students, dealing in a personalized way at the right time.</v>
      </c>
      <c r="E38" s="10"/>
      <c r="F38" s="7"/>
      <c r="G38" s="7"/>
    </row>
    <row r="39">
      <c r="A39" s="5">
        <v>56.0</v>
      </c>
      <c r="B39" s="6" t="s">
        <v>31</v>
      </c>
      <c r="C39" s="10" t="str">
        <f>IFERROR(__xludf.DUMMYFUNCTION("filter('Imported Recommendations'!B:D,'Imported Recommendations'!A:A=A39)"),"A task tracking tool. Then it can be Notion or Trello; I think it's essential.")</f>
        <v>A task tracking tool. Then it can be Notion or Trello; I think it's essential.</v>
      </c>
      <c r="D39" s="10" t="str">
        <f>IFERROR(__xludf.DUMMYFUNCTION("""COMPUTED_VALUE"""),"Use a task tracking tool like Trello or Notion.")</f>
        <v>Use a task tracking tool like Trello or Notion.</v>
      </c>
      <c r="E39" s="10"/>
      <c r="F39" s="7" t="s">
        <v>8</v>
      </c>
      <c r="G39" s="7"/>
    </row>
    <row r="40">
      <c r="A40" s="5">
        <v>58.0</v>
      </c>
      <c r="B40" s="6" t="s">
        <v>31</v>
      </c>
      <c r="C40" s="10" t="str">
        <f>IFERROR(__xludf.DUMMYFUNCTION("filter('Imported Recommendations'!B:D,'Imported Recommendations'!A:A=A40)"),"I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D40" s="10"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E40" s="10"/>
      <c r="F40" s="7" t="s">
        <v>8</v>
      </c>
      <c r="G40" s="7"/>
    </row>
    <row r="41">
      <c r="A41" s="5">
        <v>59.0</v>
      </c>
      <c r="B41" s="6" t="s">
        <v>31</v>
      </c>
      <c r="C41" s="10" t="str">
        <f>IFERROR(__xludf.DUMMYFUNCTION("filter('Imported Recommendations'!B:D,'Imported Recommendations'!A:A=A41)"),"And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D41" s="10"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E41" s="10" t="str">
        <f>IFERROR(__xludf.DUMMYFUNCTION("""COMPUTED_VALUE"""),"Use a code repository tool like Github.")</f>
        <v>Use a code repository tool like Github.</v>
      </c>
      <c r="F41" s="7" t="s">
        <v>9</v>
      </c>
      <c r="G41" s="7"/>
    </row>
    <row r="42">
      <c r="A42" s="5">
        <v>61.0</v>
      </c>
      <c r="B42" s="6" t="s">
        <v>31</v>
      </c>
      <c r="C42" s="10" t="str">
        <f>IFERROR(__xludf.DUMMYFUNCTION("filter('Imported Recommendations'!B:D,'Imported Recommendations'!A:A=A42)"),"Notion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D42" s="10" t="str">
        <f>IFERROR(__xludf.DUMMYFUNCTION("""COMPUTED_VALUE"""),"Notion and Trello allow student and teacher interaction in two ways. Gist does not allow it.")</f>
        <v>Notion and Trello allow student and teacher interaction in two ways. Gist does not allow it.</v>
      </c>
      <c r="E42" s="10"/>
      <c r="F42" s="7" t="s">
        <v>9</v>
      </c>
      <c r="G42" s="7"/>
    </row>
    <row r="43">
      <c r="A43" s="5">
        <v>62.0</v>
      </c>
      <c r="B43" s="6" t="s">
        <v>31</v>
      </c>
      <c r="C43" s="10" t="str">
        <f>IFERROR(__xludf.DUMMYFUNCTION("filter('Imported Recommendations'!B:D,'Imported Recommendations'!A:A=A43)"),"So,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D43" s="10" t="str">
        <f>IFERROR(__xludf.DUMMYFUNCTION("""COMPUTED_VALUE"""),"Limit the zoom FPS rate to 10, avoiding excessive student and instructor resource consumption.")</f>
        <v>Limit the zoom FPS rate to 10, avoiding excessive student and instructor resource consumption.</v>
      </c>
      <c r="E43" s="10"/>
      <c r="F43" s="7" t="s">
        <v>8</v>
      </c>
      <c r="G43" s="7"/>
    </row>
    <row r="44">
      <c r="A44" s="5">
        <v>64.0</v>
      </c>
      <c r="B44" s="6" t="s">
        <v>31</v>
      </c>
      <c r="C44" s="10" t="str">
        <f>IFERROR(__xludf.DUMMYFUNCTION("filter('Imported Recommendations'!B:D,'Imported Recommendations'!A:A=A44)"),"They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D44" s="10"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E44" s="10" t="str">
        <f>IFERROR(__xludf.DUMMYFUNCTION("""COMPUTED_VALUE"""),"Evaluate the course.")</f>
        <v>Evaluate the course.</v>
      </c>
      <c r="F44" s="7" t="s">
        <v>8</v>
      </c>
      <c r="G44" s="7"/>
    </row>
    <row r="45">
      <c r="A45" s="5">
        <v>67.0</v>
      </c>
      <c r="B45" s="6" t="s">
        <v>31</v>
      </c>
      <c r="C45" s="10" t="str">
        <f>IFERROR(__xludf.DUMMYFUNCTION("filter('Imported Recommendations'!B:D,'Imported Recommendations'!A:A=A45)"),"Mixing, theoretical and practical [...] is essential.")</f>
        <v>Mixing, theoretical and practical [...] is essential.</v>
      </c>
      <c r="D45" s="10" t="str">
        <f>IFERROR(__xludf.DUMMYFUNCTION("""COMPUTED_VALUE"""),"It is essential to mix the teaching of the theoretical part and the practical part of DevOps.")</f>
        <v>It is essential to mix the teaching of the theoretical part and the practical part of DevOps.</v>
      </c>
      <c r="E45" s="10"/>
      <c r="F45" s="7" t="s">
        <v>9</v>
      </c>
      <c r="G45" s="7"/>
    </row>
    <row r="46">
      <c r="A46" s="5">
        <v>68.0</v>
      </c>
      <c r="B46" s="6" t="s">
        <v>31</v>
      </c>
      <c r="C46" s="10" t="str">
        <f>IFERROR(__xludf.DUMMYFUNCTION("filter('Imported Recommendations'!B:D,'Imported Recommendations'!A:A=A46)"),"We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D46" s="10" t="str">
        <f>IFERROR(__xludf.DUMMYFUNCTION("""COMPUTED_VALUE"""),"In the theoretical part of DevOps, Lean, Kaisen, and Agile should be taught.")</f>
        <v>In the theoretical part of DevOps, Lean, Kaisen, and Agile should be taught.</v>
      </c>
      <c r="E46" s="10"/>
      <c r="F46" s="7" t="s">
        <v>9</v>
      </c>
      <c r="G46" s="7"/>
    </row>
    <row r="47">
      <c r="A47" s="5">
        <v>70.0</v>
      </c>
      <c r="B47" s="6" t="s">
        <v>31</v>
      </c>
      <c r="C47" s="10" t="str">
        <f>IFERROR(__xludf.DUMMYFUNCTION("filter('Imported Recommendations'!B:D,'Imported Recommendations'!A:A=A47)"),"Software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D47" s="10" t="str">
        <f>IFERROR(__xludf.DUMMYFUNCTION("""COMPUTED_VALUE"""),"Perform continuous delivery through virtual machines or with Docker.")</f>
        <v>Perform continuous delivery through virtual machines or with Docker.</v>
      </c>
      <c r="E47" s="10"/>
      <c r="F47" s="7" t="s">
        <v>9</v>
      </c>
      <c r="G47" s="7"/>
    </row>
    <row r="48">
      <c r="A48" s="5">
        <v>71.0</v>
      </c>
      <c r="B48" s="6" t="s">
        <v>31</v>
      </c>
      <c r="C48" s="10" t="str">
        <f>IFERROR(__xludf.DUMMYFUNCTION("filter('Imported Recommendations'!B:D,'Imported Recommendations'!A:A=A48)"),"The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D48" s="10" t="str">
        <f>IFERROR(__xludf.DUMMYFUNCTION("""COMPUTED_VALUE"""),"Use Grafana and Prometheus as monitoring tools.")</f>
        <v>Use Grafana and Prometheus as monitoring tools.</v>
      </c>
      <c r="E48" s="10"/>
      <c r="F48" s="7" t="s">
        <v>9</v>
      </c>
      <c r="G48" s="7"/>
    </row>
    <row r="49">
      <c r="A49" s="5">
        <v>73.0</v>
      </c>
      <c r="B49" s="6" t="s">
        <v>31</v>
      </c>
      <c r="C49" s="10" t="str">
        <f>IFERROR(__xludf.DUMMYFUNCTION("filter('Imported Recommendations'!B:D,'Imported Recommendations'!A:A=A49)"),"So,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D49" s="10"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E49" s="10"/>
      <c r="F49" s="7" t="s">
        <v>9</v>
      </c>
      <c r="G49" s="7"/>
    </row>
    <row r="50">
      <c r="A50" s="5">
        <v>74.0</v>
      </c>
      <c r="B50" s="6" t="s">
        <v>31</v>
      </c>
      <c r="C50" s="10" t="str">
        <f>IFERROR(__xludf.DUMMYFUNCTION("filter('Imported Recommendations'!B:D,'Imported Recommendations'!A:A=A50)"),"Make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D50" s="10"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E50" s="10"/>
      <c r="F50" s="7" t="s">
        <v>8</v>
      </c>
      <c r="G50" s="7"/>
    </row>
    <row r="51">
      <c r="A51" s="5">
        <v>76.0</v>
      </c>
      <c r="B51" s="6" t="s">
        <v>31</v>
      </c>
      <c r="C51" s="10" t="str">
        <f>IFERROR(__xludf.DUMMYFUNCTION("filter('Imported Recommendations'!B:D,'Imported Recommendations'!A:A=A51)"),"I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D51" s="10"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E51" s="10" t="str">
        <f>IFERROR(__xludf.DUMMYFUNCTION("""COMPUTED_VALUE"""),"The students could build their own system during the course.")</f>
        <v>The students could build their own system during the course.</v>
      </c>
      <c r="F51" s="7" t="s">
        <v>9</v>
      </c>
      <c r="G51" s="7"/>
    </row>
    <row r="52">
      <c r="A52" s="5">
        <v>77.0</v>
      </c>
      <c r="B52" s="6" t="s">
        <v>31</v>
      </c>
      <c r="C52" s="10" t="str">
        <f>IFERROR(__xludf.DUMMYFUNCTION("filter('Imported Recommendations'!B:D,'Imported Recommendations'!A:A=A52)"),"The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52" s="10" t="str">
        <f>IFERROR(__xludf.DUMMYFUNCTION("""COMPUTED_VALUE"""),"Exercise as many tools as possible.")</f>
        <v>Exercise as many tools as possible.</v>
      </c>
      <c r="E52" s="10"/>
      <c r="F52" s="7" t="s">
        <v>9</v>
      </c>
      <c r="G52" s="7"/>
    </row>
    <row r="53">
      <c r="A53" s="5">
        <v>79.0</v>
      </c>
      <c r="B53" s="6" t="s">
        <v>31</v>
      </c>
      <c r="C53" s="10" t="str">
        <f>IFERROR(__xludf.DUMMYFUNCTION("filter('Imported Recommendations'!B:D,'Imported Recommendations'!A:A=A53)"),"This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D53" s="10"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E53" s="10" t="str">
        <f>IFERROR(__xludf.DUMMYFUNCTION("""COMPUTED_VALUE"""),"Deliver a ready-made sample system for students to use.")</f>
        <v>Deliver a ready-made sample system for students to use.</v>
      </c>
      <c r="F53" s="7" t="s">
        <v>8</v>
      </c>
      <c r="G53" s="7"/>
    </row>
    <row r="54">
      <c r="A54" s="5">
        <v>80.0</v>
      </c>
      <c r="B54" s="6" t="s">
        <v>31</v>
      </c>
      <c r="C54" s="10" t="str">
        <f>IFERROR(__xludf.DUMMYFUNCTION("filter('Imported Recommendations'!B:D,'Imported Recommendations'!A:A=A54)"),"Maybe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D54" s="10"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E54" s="10" t="str">
        <f>IFERROR(__xludf.DUMMYFUNCTION("""COMPUTED_VALUE"""),"Provide initial environment setup for students.")</f>
        <v>Provide initial environment setup for students.</v>
      </c>
      <c r="F54" s="7" t="s">
        <v>8</v>
      </c>
      <c r="G54" s="7"/>
    </row>
    <row r="55">
      <c r="A55" s="5">
        <v>82.0</v>
      </c>
      <c r="B55" s="6" t="s">
        <v>31</v>
      </c>
      <c r="C55" s="10" t="str">
        <f>IFERROR(__xludf.DUMMYFUNCTION("filter('Imported Recommendations'!B:D,'Imported Recommendations'!A:A=A55)"),"Something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D55" s="10" t="str">
        <f>IFERROR(__xludf.DUMMYFUNCTION("""COMPUTED_VALUE"""),"Document the consulted material, facilitating future access.")</f>
        <v>Document the consulted material, facilitating future access.</v>
      </c>
      <c r="E55" s="10"/>
      <c r="F55" s="7" t="s">
        <v>8</v>
      </c>
      <c r="G55" s="7"/>
    </row>
    <row r="56">
      <c r="A56" s="5">
        <v>83.0</v>
      </c>
      <c r="B56" s="6" t="s">
        <v>31</v>
      </c>
      <c r="C56" s="10" t="str">
        <f>IFERROR(__xludf.DUMMYFUNCTION("filter('Imported Recommendations'!B:D,'Imported Recommendations'!A:A=A56)"),"For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D56" s="10"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E56" s="10" t="str">
        <f>IFERROR(__xludf.DUMMYFUNCTION("""COMPUTED_VALUE"""),"Teach continuous integration and pipeline automation.")</f>
        <v>Teach continuous integration and pipeline automation.</v>
      </c>
      <c r="F56" s="7" t="s">
        <v>9</v>
      </c>
      <c r="G56" s="7"/>
    </row>
    <row r="57">
      <c r="A57" s="5">
        <v>85.0</v>
      </c>
      <c r="B57" s="6" t="s">
        <v>31</v>
      </c>
      <c r="C57" s="10" t="str">
        <f>IFERROR(__xludf.DUMMYFUNCTION("filter('Imported Recommendations'!B:D,'Imported Recommendations'!A:A=A57)"),"The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D57" s="10" t="str">
        <f>IFERROR(__xludf.DUMMYFUNCTION("""COMPUTED_VALUE"""),"Introduce students to minimal relevant tools and their tradeoffs.
Use few key tools.")</f>
        <v>Introduce students to minimal relevant tools and their tradeoffs.
Use few key tools.</v>
      </c>
      <c r="E57" s="10" t="str">
        <f>IFERROR(__xludf.DUMMYFUNCTION("""COMPUTED_VALUE"""),"Use few key tools.")</f>
        <v>Use few key tools.</v>
      </c>
      <c r="F57" s="7" t="s">
        <v>9</v>
      </c>
      <c r="G57" s="7"/>
    </row>
    <row r="58">
      <c r="A58" s="5">
        <v>86.0</v>
      </c>
      <c r="B58" s="6" t="s">
        <v>31</v>
      </c>
      <c r="C58" s="10" t="str">
        <f>IFERROR(__xludf.DUMMYFUNCTION("filter('Imported Recommendations'!B:D,'Imported Recommendations'!A:A=A58)"),"I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D58" s="10"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E58" s="10" t="str">
        <f>IFERROR(__xludf.DUMMYFUNCTION("""COMPUTED_VALUE"""),"Do exams with more conceptual questions.")</f>
        <v>Do exams with more conceptual questions.</v>
      </c>
      <c r="F58" s="7" t="s">
        <v>9</v>
      </c>
      <c r="G58" s="7"/>
    </row>
    <row r="59">
      <c r="A59" s="5">
        <v>88.0</v>
      </c>
      <c r="B59" s="6" t="s">
        <v>31</v>
      </c>
      <c r="C59" s="10" t="str">
        <f>IFERROR(__xludf.DUMMYFUNCTION("filter('Imported Recommendations'!B:D,'Imported Recommendations'!A:A=A59)"),"So,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D59" s="10"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E59" s="10" t="str">
        <f>IFERROR(__xludf.DUMMYFUNCTION("""COMPUTED_VALUE"""),"The basics of building, testing, deploying, and monitoring should be present in a DevOps course.")</f>
        <v>The basics of building, testing, deploying, and monitoring should be present in a DevOps course.</v>
      </c>
      <c r="F59" s="7" t="s">
        <v>9</v>
      </c>
      <c r="G59" s="7"/>
    </row>
    <row r="60">
      <c r="A60" s="5">
        <v>89.0</v>
      </c>
      <c r="B60" s="6" t="s">
        <v>31</v>
      </c>
      <c r="C60" s="10" t="str">
        <f>IFERROR(__xludf.DUMMYFUNCTION("filter('Imported Recommendations'!B:D,'Imported Recommendations'!A:A=A60)"),"During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D60" s="10" t="str">
        <f>IFERROR(__xludf.DUMMYFUNCTION("""COMPUTED_VALUE"""),"Standardize the teaching material for all classes.")</f>
        <v>Standardize the teaching material for all classes.</v>
      </c>
      <c r="E60" s="10"/>
      <c r="F60" s="7" t="s">
        <v>8</v>
      </c>
      <c r="G60" s="7"/>
    </row>
    <row r="61">
      <c r="A61" s="5">
        <v>91.0</v>
      </c>
      <c r="B61" s="6" t="s">
        <v>31</v>
      </c>
      <c r="C61" s="10" t="str">
        <f>IFERROR(__xludf.DUMMYFUNCTION("filter('Imported Recommendations'!B:D,'Imported Recommendations'!A:A=A61)"),"the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D61" s="10"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E61" s="10" t="str">
        <f>IFERROR(__xludf.DUMMYFUNCTION("""COMPUTED_VALUE"""),"Use relevant industry tools.")</f>
        <v>Use relevant industry tools.</v>
      </c>
      <c r="F61" s="7" t="s">
        <v>9</v>
      </c>
      <c r="G61" s="7"/>
    </row>
    <row r="62">
      <c r="A62" s="5">
        <v>92.0</v>
      </c>
      <c r="B62" s="6" t="s">
        <v>31</v>
      </c>
      <c r="C62" s="10" t="str">
        <f>IFERROR(__xludf.DUMMYFUNCTION("filter('Imported Recommendations'!B:D,'Imported Recommendations'!A:A=A62)"),"Of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D62" s="10"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E62" s="10"/>
      <c r="F62" s="7" t="s">
        <v>9</v>
      </c>
      <c r="G62" s="7"/>
    </row>
    <row r="63">
      <c r="A63" s="5">
        <v>94.0</v>
      </c>
      <c r="B63" s="6" t="s">
        <v>31</v>
      </c>
      <c r="C63" s="10" t="str">
        <f>IFERROR(__xludf.DUMMYFUNCTION("filter('Imported Recommendations'!B:D,'Imported Recommendations'!A:A=A63)"),"Which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D63" s="10"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E63" s="10" t="str">
        <f>IFERROR(__xludf.DUMMYFUNCTION("""COMPUTED_VALUE"""),"Use the DevOps tools in simplest way.")</f>
        <v>Use the DevOps tools in simplest way.</v>
      </c>
      <c r="F63" s="7" t="s">
        <v>9</v>
      </c>
      <c r="G63" s="7"/>
    </row>
    <row r="64">
      <c r="A64" s="5">
        <v>95.0</v>
      </c>
      <c r="B64" s="6" t="s">
        <v>31</v>
      </c>
      <c r="C64" s="10" t="str">
        <f>IFERROR(__xludf.DUMMYFUNCTION("filter('Imported Recommendations'!B:D,'Imported Recommendations'!A:A=A64)"),"We don't evaluate, [...] but we keep observing, right, the students, and such throughout the training.")</f>
        <v>We don't evaluate, [...] but we keep observing, right, the students, and such throughout the training.</v>
      </c>
      <c r="D64" s="10" t="str">
        <f>IFERROR(__xludf.DUMMYFUNCTION("""COMPUTED_VALUE"""),"Monitor student progress throughout training by conducting a traditional assessment.")</f>
        <v>Monitor student progress throughout training by conducting a traditional assessment.</v>
      </c>
      <c r="E64" s="10"/>
      <c r="F64" s="7" t="s">
        <v>9</v>
      </c>
      <c r="G64" s="7"/>
    </row>
    <row r="65">
      <c r="A65" s="5">
        <v>97.0</v>
      </c>
      <c r="B65" s="6" t="s">
        <v>31</v>
      </c>
      <c r="C65" s="10" t="str">
        <f>IFERROR(__xludf.DUMMYFUNCTION("filter('Imported Recommendations'!B:D,'Imported Recommendations'!A:A=A65)"),"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D65" s="10"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E65" s="10" t="str">
        <f>IFERROR(__xludf.DUMMYFUNCTION("""COMPUTED_VALUE"""),"Use Agile approaches in DevOps classes.")</f>
        <v>Use Agile approaches in DevOps classes.</v>
      </c>
      <c r="F65" s="7" t="s">
        <v>9</v>
      </c>
      <c r="G65" s="7"/>
    </row>
    <row r="66">
      <c r="A66" s="5">
        <v>98.0</v>
      </c>
      <c r="B66" s="6" t="s">
        <v>31</v>
      </c>
      <c r="C66" s="10" t="str">
        <f>IFERROR(__xludf.DUMMYFUNCTION("filter('Imported Recommendations'!B:D,'Imported Recommendations'!A:A=A66)"),"To get Everything ready to avoid problems and lose the focus and essence of the group.")</f>
        <v>To get Everything ready to avoid problems and lose the focus and essence of the group.</v>
      </c>
      <c r="D66" s="10" t="str">
        <f>IFERROR(__xludf.DUMMYFUNCTION("""COMPUTED_VALUE"""),"Start a class with a pre-organized structure.")</f>
        <v>Start a class with a pre-organized structure.</v>
      </c>
      <c r="E66" s="10"/>
      <c r="F66" s="7" t="s">
        <v>9</v>
      </c>
      <c r="G66" s="7"/>
    </row>
    <row r="67">
      <c r="A67" s="5">
        <v>100.0</v>
      </c>
      <c r="B67" s="6" t="s">
        <v>31</v>
      </c>
      <c r="C67" s="10" t="str">
        <f>IFERROR(__xludf.DUMMYFUNCTION("filter('Imported Recommendations'!B:D,'Imported Recommendations'!A:A=A67)"),"Working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D67" s="10"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E67" s="10" t="str">
        <f>IFERROR(__xludf.DUMMYFUNCTION("""COMPUTED_VALUE"""),"Relate devops to site reliability engineering (sre) for students.")</f>
        <v>Relate devops to site reliability engineering (sre) for students.</v>
      </c>
      <c r="F67" s="7" t="s">
        <v>9</v>
      </c>
      <c r="G67" s="7"/>
    </row>
    <row r="68">
      <c r="A68" s="5">
        <v>103.0</v>
      </c>
      <c r="B68" s="6" t="s">
        <v>31</v>
      </c>
      <c r="C68" s="10" t="str">
        <f>IFERROR(__xludf.DUMMYFUNCTION("filter('Imported Recommendations'!B:D,'Imported Recommendations'!A:A=A68)"),"To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D68" s="10" t="str">
        <f>IFERROR(__xludf.DUMMYFUNCTION("""COMPUTED_VALUE"""),"Make use of the Comprehensive Distance Learning (CDL) teaching methodology.")</f>
        <v>Make use of the Comprehensive Distance Learning (CDL) teaching methodology.</v>
      </c>
      <c r="E68" s="10"/>
      <c r="F68" s="7" t="s">
        <v>8</v>
      </c>
      <c r="G68" s="7"/>
    </row>
    <row r="69">
      <c r="A69" s="5">
        <v>104.0</v>
      </c>
      <c r="B69" s="6" t="s">
        <v>31</v>
      </c>
      <c r="C69" s="10" t="str">
        <f>IFERROR(__xludf.DUMMYFUNCTION("filter('Imported Recommendations'!B:D,'Imported Recommendations'!A:A=A69)"),"DevOps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D69" s="10"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E69" s="10" t="str">
        <f>IFERROR(__xludf.DUMMYFUNCTION("""COMPUTED_VALUE"""),"It takes practice to understand DevOps concepts.")</f>
        <v>It takes practice to understand DevOps concepts.</v>
      </c>
      <c r="F69" s="7" t="s">
        <v>9</v>
      </c>
      <c r="G69" s="7"/>
    </row>
    <row r="70">
      <c r="A70" s="5">
        <v>106.0</v>
      </c>
      <c r="B70" s="6" t="s">
        <v>31</v>
      </c>
      <c r="C70" s="10" t="str">
        <f>IFERROR(__xludf.DUMMYFUNCTION("filter('Imported Recommendations'!B:D,'Imported Recommendations'!A:A=A70)"),"You propose the dynamics and have these things move the group because otherwise, it gets so dull.")</f>
        <v>You propose the dynamics and have these things move the group because otherwise, it gets so dull.</v>
      </c>
      <c r="D70" s="10" t="str">
        <f>IFERROR(__xludf.DUMMYFUNCTION("""COMPUTED_VALUE"""),"Use dynamics to inspire the class.")</f>
        <v>Use dynamics to inspire the class.</v>
      </c>
      <c r="E70" s="10"/>
      <c r="F70" s="7" t="s">
        <v>8</v>
      </c>
      <c r="G70" s="7"/>
    </row>
    <row r="71">
      <c r="A71" s="5">
        <v>109.0</v>
      </c>
      <c r="B71" s="6" t="s">
        <v>31</v>
      </c>
      <c r="C71" s="10" t="str">
        <f>IFERROR(__xludf.DUMMYFUNCTION("filter('Imported Recommendations'!B:D,'Imported Recommendations'!A:A=A71)"),"Some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D71" s="10"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E71" s="10" t="str">
        <f>IFERROR(__xludf.DUMMYFUNCTION("""COMPUTED_VALUE"""),"Teacher assistants help in the assessment process.")</f>
        <v>Teacher assistants help in the assessment process.</v>
      </c>
      <c r="F71" s="7" t="s">
        <v>8</v>
      </c>
      <c r="G71" s="7"/>
    </row>
    <row r="72">
      <c r="A72" s="5">
        <v>110.0</v>
      </c>
      <c r="B72" s="6" t="s">
        <v>31</v>
      </c>
      <c r="C72" s="10" t="str">
        <f>IFERROR(__xludf.DUMMYFUNCTION("filter('Imported Recommendations'!B:D,'Imported Recommendations'!A:A=A72)"),"Because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D72" s="10"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E72" s="10" t="str">
        <f>IFERROR(__xludf.DUMMYFUNCTION("""COMPUTED_VALUE"""),"Promote students' independent decision-making in the learning process.")</f>
        <v>Promote students' independent decision-making in the learning process.</v>
      </c>
      <c r="F72" s="7" t="s">
        <v>8</v>
      </c>
      <c r="G72" s="7"/>
    </row>
    <row r="73">
      <c r="A73" s="5">
        <v>112.0</v>
      </c>
      <c r="B73" s="6" t="s">
        <v>31</v>
      </c>
      <c r="C73" s="10" t="str">
        <f>IFERROR(__xludf.DUMMYFUNCTION("filter('Imported Recommendations'!B:D,'Imported Recommendations'!A:A=A73)"),"PBL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D73" s="10"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E73" s="10" t="str">
        <f>IFERROR(__xludf.DUMMYFUNCTION("""COMPUTED_VALUE"""),"Problem-Based Learning (PBL) is great for teaching DevOps.")</f>
        <v>Problem-Based Learning (PBL) is great for teaching DevOps.</v>
      </c>
      <c r="F73" s="7" t="s">
        <v>8</v>
      </c>
      <c r="G73" s="7"/>
    </row>
    <row r="74">
      <c r="A74" s="5">
        <v>113.0</v>
      </c>
      <c r="B74" s="6" t="s">
        <v>31</v>
      </c>
      <c r="C74" s="10" t="str">
        <f>IFERROR(__xludf.DUMMYFUNCTION("filter('Imported Recommendations'!B:D,'Imported Recommendations'!A:A=A74)"),"Today,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D74" s="10" t="str">
        <f>IFERROR(__xludf.DUMMYFUNCTION("""COMPUTED_VALUE"""),"Merge good practices of Problem-Based Learning (PBL), inverted class and Agile, through classroom experimentation.")</f>
        <v>Merge good practices of Problem-Based Learning (PBL), inverted class and Agile, through classroom experimentation.</v>
      </c>
      <c r="E74" s="10"/>
      <c r="F74" s="7" t="s">
        <v>9</v>
      </c>
      <c r="G74" s="7"/>
    </row>
    <row r="75">
      <c r="A75" s="32">
        <v>114.0</v>
      </c>
      <c r="B75" s="33" t="s">
        <v>31</v>
      </c>
      <c r="C75" s="10" t="str">
        <f>IFERROR(__xludf.DUMMYFUNCTION("filter('Imported Recommendations'!B:D,'Imported Recommendations'!A:A=A75)"),"I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D75" s="34"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E75" s="10" t="str">
        <f>IFERROR(__xludf.DUMMYFUNCTION("""COMPUTED_VALUE"""),"Organize the students into teams.")</f>
        <v>Organize the students into teams.</v>
      </c>
      <c r="F75" s="7" t="s">
        <v>8</v>
      </c>
      <c r="G75" s="7"/>
    </row>
    <row r="76">
      <c r="A76" s="32">
        <v>115.0</v>
      </c>
      <c r="B76" s="33" t="s">
        <v>31</v>
      </c>
      <c r="C76" s="10" t="str">
        <f>IFERROR(__xludf.DUMMYFUNCTION("filter('Imported Recommendations'!B:D,'Imported Recommendations'!A:A=A76)"),"And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D76" s="34"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E76" s="35" t="str">
        <f>IFERROR(__xludf.DUMMYFUNCTION("""COMPUTED_VALUE"""),"Do agile planning with sprints.")</f>
        <v>Do agile planning with sprints.</v>
      </c>
      <c r="F76" s="7" t="s">
        <v>9</v>
      </c>
      <c r="G76" s="31" t="s">
        <v>32</v>
      </c>
    </row>
    <row r="77">
      <c r="A77" s="32">
        <v>117.0</v>
      </c>
      <c r="B77" s="36" t="s">
        <v>31</v>
      </c>
      <c r="C77" s="10" t="str">
        <f>IFERROR(__xludf.DUMMYFUNCTION("filter('Imported Recommendations'!B:D,'Imported Recommendations'!A:A=A77)"),"I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D77" s="34"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E77" s="35" t="str">
        <f>IFERROR(__xludf.DUMMYFUNCTION("""COMPUTED_VALUE"""),"Provide fast feedback to the students.")</f>
        <v>Provide fast feedback to the students.</v>
      </c>
      <c r="F77" s="7" t="s">
        <v>8</v>
      </c>
      <c r="G77" s="7"/>
    </row>
    <row r="78">
      <c r="A78" s="32">
        <v>118.0</v>
      </c>
      <c r="B78" s="33" t="s">
        <v>31</v>
      </c>
      <c r="C78" s="10" t="str">
        <f>IFERROR(__xludf.DUMMYFUNCTION("filter('Imported Recommendations'!B:D,'Imported Recommendations'!A:A=A78)"),"I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D78" s="34"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E78" s="35" t="str">
        <f>IFERROR(__xludf.DUMMYFUNCTION("""COMPUTED_VALUE"""),"Don't give the solution right away.")</f>
        <v>Don't give the solution right away.</v>
      </c>
      <c r="F78" s="7" t="s">
        <v>8</v>
      </c>
      <c r="G78" s="7"/>
    </row>
    <row r="79">
      <c r="A79" s="32">
        <v>120.0</v>
      </c>
      <c r="B79" s="33" t="s">
        <v>31</v>
      </c>
      <c r="C79" s="10" t="str">
        <f>IFERROR(__xludf.DUMMYFUNCTION("filter('Imported Recommendations'!B:D,'Imported Recommendations'!A:A=A79)"),"So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D79" s="34"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E79" s="35" t="str">
        <f>IFERROR(__xludf.DUMMYFUNCTION("""COMPUTED_VALUE"""),"Make the group motivation a responsibility of themselves.")</f>
        <v>Make the group motivation a responsibility of themselves.</v>
      </c>
      <c r="F79" s="7" t="s">
        <v>8</v>
      </c>
      <c r="G79" s="7"/>
    </row>
    <row r="80">
      <c r="A80" s="32">
        <v>121.0</v>
      </c>
      <c r="B80" s="33" t="s">
        <v>31</v>
      </c>
      <c r="C80" s="10" t="str">
        <f>IFERROR(__xludf.DUMMYFUNCTION("filter('Imported Recommendations'!B:D,'Imported Recommendations'!A:A=A80)"),"Do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D80" s="34" t="str">
        <f>IFERROR(__xludf.DUMMYFUNCTION("""COMPUTED_VALUE"""),"It'd be great if there was a Cloud course before DevOps course.
Prepare students with previous courses.")</f>
        <v>It'd be great if there was a Cloud course before DevOps course.
Prepare students with previous courses.</v>
      </c>
      <c r="E80" s="35" t="str">
        <f>IFERROR(__xludf.DUMMYFUNCTION("""COMPUTED_VALUE"""),"Prepare students with previous courses that teach related DevOps concepts.")</f>
        <v>Prepare students with previous courses that teach related DevOps concepts.</v>
      </c>
      <c r="F80" s="7" t="s">
        <v>9</v>
      </c>
      <c r="G80" s="31" t="s">
        <v>33</v>
      </c>
    </row>
    <row r="81">
      <c r="A81" s="32">
        <v>123.0</v>
      </c>
      <c r="B81" s="36" t="s">
        <v>31</v>
      </c>
      <c r="C81" s="10" t="str">
        <f>IFERROR(__xludf.DUMMYFUNCTION("filter('Imported Recommendations'!B:D,'Imported Recommendations'!A:A=A81)"),"We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D81" s="37"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E81" s="38" t="str">
        <f>IFERROR(__xludf.DUMMYFUNCTION("""COMPUTED_VALUE"""),"Vagrant and VirtualBox tools are free and useful to create consistent development environment between students.")</f>
        <v>Vagrant and VirtualBox tools are free and useful to create consistent development environment between students.</v>
      </c>
      <c r="F81" s="7" t="s">
        <v>9</v>
      </c>
      <c r="G81" s="31" t="s">
        <v>34</v>
      </c>
    </row>
    <row r="82">
      <c r="A82" s="32">
        <v>124.0</v>
      </c>
      <c r="B82" s="33" t="s">
        <v>31</v>
      </c>
      <c r="C82" s="10" t="str">
        <f>IFERROR(__xludf.DUMMYFUNCTION("filter('Imported Recommendations'!B:D,'Imported Recommendations'!A:A=A82)"),"I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82" s="34"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E82" s="39" t="str">
        <f>IFERROR(__xludf.DUMMYFUNCTION("""COMPUTED_VALUE"""),"Docker can be chosen as DevOps tool.")</f>
        <v>Docker can be chosen as DevOps tool.</v>
      </c>
      <c r="F82" s="7" t="s">
        <v>9</v>
      </c>
      <c r="G82" s="7"/>
    </row>
    <row r="83">
      <c r="A83" s="32">
        <v>126.0</v>
      </c>
      <c r="B83" s="33" t="s">
        <v>31</v>
      </c>
      <c r="C83" s="10" t="str">
        <f>IFERROR(__xludf.DUMMYFUNCTION("filter('Imported Recommendations'!B:D,'Imported Recommendations'!A:A=A83)"),"Students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D83" s="37"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E83" s="25" t="str">
        <f>IFERROR(__xludf.DUMMYFUNCTION("""COMPUTED_VALUE"""),"Do not force the technology stack used by students in their systems.")</f>
        <v>Do not force the technology stack used by students in their systems.</v>
      </c>
      <c r="F83" s="7" t="s">
        <v>9</v>
      </c>
      <c r="G83" s="31"/>
    </row>
    <row r="84">
      <c r="A84" s="32">
        <v>127.0</v>
      </c>
      <c r="B84" s="33" t="s">
        <v>31</v>
      </c>
      <c r="C84" s="10" t="str">
        <f>IFERROR(__xludf.DUMMYFUNCTION("filter('Imported Recommendations'!B:D,'Imported Recommendations'!A:A=A84)"),"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D84" s="34" t="str">
        <f>IFERROR(__xludf.DUMMYFUNCTION("""COMPUTED_VALUE"""),"Argo CD is a more current continuous delivery tool than Jenkins.")</f>
        <v>Argo CD is a more current continuous delivery tool than Jenkins.</v>
      </c>
      <c r="E84" s="35"/>
      <c r="F84" s="7" t="s">
        <v>9</v>
      </c>
      <c r="G84" s="7"/>
    </row>
    <row r="85">
      <c r="A85" s="32">
        <v>129.0</v>
      </c>
      <c r="B85" s="33" t="s">
        <v>31</v>
      </c>
      <c r="C85" s="10" t="str">
        <f>IFERROR(__xludf.DUMMYFUNCTION("filter('Imported Recommendations'!B:D,'Imported Recommendations'!A:A=A85)"),"I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D85" s="34"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E85" s="35"/>
      <c r="F85" s="7" t="s">
        <v>8</v>
      </c>
      <c r="G85" s="31"/>
    </row>
    <row r="86">
      <c r="A86" s="32">
        <v>130.0</v>
      </c>
      <c r="B86" s="33" t="s">
        <v>31</v>
      </c>
      <c r="C86" s="10" t="str">
        <f>IFERROR(__xludf.DUMMYFUNCTION("filter('Imported Recommendations'!B:D,'Imported Recommendations'!A:A=A86)"),"So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D86" s="34"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E86" s="35" t="str">
        <f>IFERROR(__xludf.DUMMYFUNCTION("""COMPUTED_VALUE"""),"Teacher assistence help students over managing questions.")</f>
        <v>Teacher assistence help students over managing questions.</v>
      </c>
      <c r="F86" s="7" t="s">
        <v>8</v>
      </c>
      <c r="G86" s="7"/>
    </row>
    <row r="87">
      <c r="A87" s="32">
        <v>132.0</v>
      </c>
      <c r="B87" s="33" t="s">
        <v>31</v>
      </c>
      <c r="C87" s="10" t="str">
        <f>IFERROR(__xludf.DUMMYFUNCTION("filter('Imported Recommendations'!B:D,'Imported Recommendations'!A:A=A87)"),"I try to get the student more engaged.... If they're not having fun, then we're, we're doing it wrong. So, so I'm making sure they're having fun.")</f>
        <v>I try to get the student more engaged.... If they're not having fun, then we're, we're doing it wrong. So, so I'm making sure they're having fun.</v>
      </c>
      <c r="D87" s="34" t="str">
        <f>IFERROR(__xludf.DUMMYFUNCTION("""COMPUTED_VALUE"""),"Try to get the student having fun in order to keep them engaged.")</f>
        <v>Try to get the student having fun in order to keep them engaged.</v>
      </c>
      <c r="E87" s="35"/>
      <c r="F87" s="7" t="s">
        <v>8</v>
      </c>
      <c r="G87" s="7"/>
    </row>
    <row r="88">
      <c r="A88" s="32">
        <v>133.0</v>
      </c>
      <c r="B88" s="36" t="s">
        <v>31</v>
      </c>
      <c r="C88" s="10" t="str">
        <f>IFERROR(__xludf.DUMMYFUNCTION("filter('Imported Recommendations'!B:D,'Imported Recommendations'!A:A=A88)"),"In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D88" s="34"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E88" s="35" t="str">
        <f>IFERROR(__xludf.DUMMYFUNCTION("""COMPUTED_VALUE"""),"Use quiz with multiple choices to assess the students.")</f>
        <v>Use quiz with multiple choices to assess the students.</v>
      </c>
      <c r="F88" s="7" t="s">
        <v>8</v>
      </c>
      <c r="G88" s="7"/>
    </row>
    <row r="89">
      <c r="A89" s="32">
        <v>136.0</v>
      </c>
      <c r="B89" s="33" t="s">
        <v>31</v>
      </c>
      <c r="C89" s="10" t="str">
        <f>IFERROR(__xludf.DUMMYFUNCTION("filter('Imported Recommendations'!B:D,'Imported Recommendations'!A:A=A89)"),"we had cloud computing, where can easily stand up virtual machines for people and things like that.")</f>
        <v>we had cloud computing, where can easily stand up virtual machines for people and things like that.</v>
      </c>
      <c r="D89" s="34" t="str">
        <f>IFERROR(__xludf.DUMMYFUNCTION("""COMPUTED_VALUE"""),"Cloud computing make easier to stand up virtual machines.")</f>
        <v>Cloud computing make easier to stand up virtual machines.</v>
      </c>
      <c r="E89" s="35"/>
      <c r="F89" s="7" t="s">
        <v>9</v>
      </c>
      <c r="G89" s="7"/>
    </row>
    <row r="90">
      <c r="A90" s="32">
        <v>138.0</v>
      </c>
      <c r="B90" s="36" t="s">
        <v>31</v>
      </c>
      <c r="C90" s="10" t="str">
        <f>IFERROR(__xludf.DUMMYFUNCTION("filter('Imported Recommendations'!B:D,'Imported Recommendations'!A:A=A90)"),"I'm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D90" s="34" t="str">
        <f>IFERROR(__xludf.DUMMYFUNCTION("""COMPUTED_VALUE"""),"Use imagens that contain everything that the teacher wants to teach to clone virtual machines.")</f>
        <v>Use imagens that contain everything that the teacher wants to teach to clone virtual machines.</v>
      </c>
      <c r="E90" s="35"/>
      <c r="F90" s="7" t="s">
        <v>9</v>
      </c>
      <c r="G90" s="7"/>
    </row>
    <row r="91">
      <c r="A91" s="32">
        <v>139.0</v>
      </c>
      <c r="B91" s="33" t="s">
        <v>31</v>
      </c>
      <c r="C91" s="10" t="str">
        <f>IFERROR(__xludf.DUMMYFUNCTION("filter('Imported Recommendations'!B:D,'Imported Recommendations'!A:A=A91)"),"I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D91" s="34" t="str">
        <f>IFERROR(__xludf.DUMMYFUNCTION("""COMPUTED_VALUE"""),"Use Github for academic use where you can set up GitHub classrooms.")</f>
        <v>Use Github for academic use where you can set up GitHub classrooms.</v>
      </c>
      <c r="E91" s="35"/>
      <c r="F91" s="7" t="s">
        <v>8</v>
      </c>
      <c r="G91" s="7"/>
    </row>
    <row r="92">
      <c r="A92" s="32">
        <v>141.0</v>
      </c>
      <c r="B92" s="33" t="s">
        <v>31</v>
      </c>
      <c r="C92" s="10" t="str">
        <f>IFERROR(__xludf.DUMMYFUNCTION("filter('Imported Recommendations'!B:D,'Imported Recommendations'!A:A=A92)"),"I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D92" s="34" t="str">
        <f>IFERROR(__xludf.DUMMYFUNCTION("""COMPUTED_VALUE"""),"Use cloud SAS providers to avoid spending a lot of time installations and configurations.")</f>
        <v>Use cloud SAS providers to avoid spending a lot of time installations and configurations.</v>
      </c>
      <c r="E92" s="35"/>
      <c r="F92" s="7" t="s">
        <v>9</v>
      </c>
      <c r="G92" s="7"/>
    </row>
    <row r="93">
      <c r="A93" s="32">
        <v>142.0</v>
      </c>
      <c r="B93" s="33" t="s">
        <v>31</v>
      </c>
      <c r="C93" s="10" t="str">
        <f>IFERROR(__xludf.DUMMYFUNCTION("filter('Imported Recommendations'!B:D,'Imported Recommendations'!A:A=A93)"),"I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D93" s="34" t="str">
        <f>IFERROR(__xludf.DUMMYFUNCTION("""COMPUTED_VALUE"""),"Show the evolution of the tools like exposing from ant and maven to gradle tool in build managment.")</f>
        <v>Show the evolution of the tools like exposing from ant and maven to gradle tool in build managment.</v>
      </c>
      <c r="E93" s="35"/>
      <c r="F93" s="7" t="s">
        <v>8</v>
      </c>
      <c r="G93" s="7"/>
    </row>
    <row r="94">
      <c r="A94" s="32">
        <v>144.0</v>
      </c>
      <c r="B94" s="33" t="s">
        <v>31</v>
      </c>
      <c r="C94" s="10" t="str">
        <f>IFERROR(__xludf.DUMMYFUNCTION("filter('Imported Recommendations'!B:D,'Imported Recommendations'!A:A=A94)"),"And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D94" s="34"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E94" s="35"/>
      <c r="F94" s="7" t="s">
        <v>9</v>
      </c>
      <c r="G94" s="7"/>
    </row>
    <row r="95">
      <c r="A95" s="32">
        <v>145.0</v>
      </c>
      <c r="B95" s="33" t="s">
        <v>31</v>
      </c>
      <c r="C95" s="10" t="str">
        <f>IFERROR(__xludf.DUMMYFUNCTION("filter('Imported Recommendations'!B:D,'Imported Recommendations'!A:A=A95)"),"I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D95" s="34"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E95" s="35"/>
      <c r="F95" s="7" t="s">
        <v>9</v>
      </c>
      <c r="G95" s="31" t="s">
        <v>35</v>
      </c>
    </row>
    <row r="96">
      <c r="A96" s="32">
        <v>147.0</v>
      </c>
      <c r="B96" s="36" t="s">
        <v>31</v>
      </c>
      <c r="C96" s="10" t="str">
        <f>IFERROR(__xludf.DUMMYFUNCTION("filter('Imported Recommendations'!B:D,'Imported Recommendations'!A:A=A96)"),"I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D96" s="34" t="str">
        <f>IFERROR(__xludf.DUMMYFUNCTION("""COMPUTED_VALUE"""),"Provide jump-starting examples of commonly used commands of tools.")</f>
        <v>Provide jump-starting examples of commonly used commands of tools.</v>
      </c>
      <c r="E96" s="35"/>
      <c r="F96" s="7" t="s">
        <v>8</v>
      </c>
      <c r="G96" s="31" t="s">
        <v>36</v>
      </c>
    </row>
    <row r="97">
      <c r="A97" s="32">
        <v>148.0</v>
      </c>
      <c r="B97" s="33" t="s">
        <v>31</v>
      </c>
      <c r="C97" s="10" t="str">
        <f>IFERROR(__xludf.DUMMYFUNCTION("filter('Imported Recommendations'!B:D,'Imported Recommendations'!A:A=A97)"),"So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D97" s="34"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E97" s="35"/>
      <c r="F97" s="7" t="s">
        <v>9</v>
      </c>
      <c r="G97" s="7"/>
    </row>
    <row r="98">
      <c r="A98" s="32">
        <v>150.0</v>
      </c>
      <c r="B98" s="33" t="s">
        <v>31</v>
      </c>
      <c r="C98" s="10" t="str">
        <f>IFERROR(__xludf.DUMMYFUNCTION("filter('Imported Recommendations'!B:D,'Imported Recommendations'!A:A=A98)"),"We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D98" s="34"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E98" s="35"/>
      <c r="F98" s="7" t="s">
        <v>8</v>
      </c>
      <c r="G98" s="31"/>
    </row>
    <row r="99">
      <c r="A99" s="32">
        <v>151.0</v>
      </c>
      <c r="B99" s="33" t="s">
        <v>31</v>
      </c>
      <c r="C99" s="10" t="str">
        <f>IFERROR(__xludf.DUMMYFUNCTION("filter('Imported Recommendations'!B:D,'Imported Recommendations'!A:A=A99)"),"So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D99" s="34"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E99" s="35" t="str">
        <f>IFERROR(__xludf.DUMMYFUNCTION("""COMPUTED_VALUE"""),"The courses of software architecture and DevOps taught together.")</f>
        <v>The courses of software architecture and DevOps taught together.</v>
      </c>
      <c r="F99" s="7" t="s">
        <v>8</v>
      </c>
      <c r="G99" s="7"/>
    </row>
    <row r="100">
      <c r="A100" s="32">
        <v>153.0</v>
      </c>
      <c r="B100" s="33" t="s">
        <v>31</v>
      </c>
      <c r="C100" s="10" t="str">
        <f>IFERROR(__xludf.DUMMYFUNCTION("filter('Imported Recommendations'!B:D,'Imported Recommendations'!A:A=A100)"),"And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D100" s="34" t="str">
        <f>IFERROR(__xludf.DUMMYFUNCTION("""COMPUTED_VALUE"""),"Study the tools more when you go into the concepts. For example, deep Docker when you teach containers.")</f>
        <v>Study the tools more when you go into the concepts. For example, deep Docker when you teach containers.</v>
      </c>
      <c r="E100" s="35"/>
      <c r="F100" s="7" t="s">
        <v>9</v>
      </c>
      <c r="G100" s="31" t="s">
        <v>37</v>
      </c>
    </row>
    <row r="101">
      <c r="A101" s="32">
        <v>154.0</v>
      </c>
      <c r="B101" s="33" t="s">
        <v>31</v>
      </c>
      <c r="C101" s="10" t="str">
        <f>IFERROR(__xludf.DUMMYFUNCTION("filter('Imported Recommendations'!B:D,'Imported Recommendations'!A:A=A101)"),"what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D101" s="34"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E101" s="35"/>
      <c r="F101" s="7" t="s">
        <v>8</v>
      </c>
      <c r="G101" s="7"/>
    </row>
    <row r="102">
      <c r="A102" s="32">
        <v>156.0</v>
      </c>
      <c r="B102" s="33" t="s">
        <v>31</v>
      </c>
      <c r="C102" s="10" t="str">
        <f>IFERROR(__xludf.DUMMYFUNCTION("filter('Imported Recommendations'!B:D,'Imported Recommendations'!A:A=A102)"),"Go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D102" s="34" t="str">
        <f>IFERROR(__xludf.DUMMYFUNCTION("""COMPUTED_VALUE"""),"Build whiteboard free sessions inspired by what students have failed and the two hours exercise.")</f>
        <v>Build whiteboard free sessions inspired by what students have failed and the two hours exercise.</v>
      </c>
      <c r="E102" s="35"/>
      <c r="F102" s="7" t="s">
        <v>9</v>
      </c>
      <c r="G102" s="31"/>
    </row>
    <row r="103">
      <c r="A103" s="32">
        <v>157.0</v>
      </c>
      <c r="B103" s="33" t="s">
        <v>31</v>
      </c>
      <c r="C103" s="10" t="str">
        <f>IFERROR(__xludf.DUMMYFUNCTION("filter('Imported Recommendations'!B:D,'Imported Recommendations'!A:A=A103)"),"We've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D103" s="34"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E103" s="35" t="str">
        <f>IFERROR(__xludf.DUMMYFUNCTION("""COMPUTED_VALUE"""),"Make students prepare a presentation about topics related to DevOps.")</f>
        <v>Make students prepare a presentation about topics related to DevOps.</v>
      </c>
      <c r="F103" s="7" t="s">
        <v>9</v>
      </c>
      <c r="G103" s="7"/>
    </row>
    <row r="104">
      <c r="A104" s="32">
        <v>159.0</v>
      </c>
      <c r="B104" s="33" t="s">
        <v>31</v>
      </c>
      <c r="C104" s="10" t="str">
        <f>IFERROR(__xludf.DUMMYFUNCTION("filter('Imported Recommendations'!B:D,'Imported Recommendations'!A:A=A104)"),"we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D104" s="34"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E104" s="35"/>
      <c r="F104" s="7" t="s">
        <v>8</v>
      </c>
      <c r="G104" s="7"/>
    </row>
    <row r="105">
      <c r="A105" s="32">
        <v>160.0</v>
      </c>
      <c r="B105" s="33" t="s">
        <v>31</v>
      </c>
      <c r="C105" s="10" t="str">
        <f>IFERROR(__xludf.DUMMYFUNCTION("filter('Imported Recommendations'!B:D,'Imported Recommendations'!A:A=A105)"),"we cannot make assumption on what they know. So we're trying to work without any assumption.
")</f>
        <v>we cannot make assumption on what they know. So we're trying to work without any assumption.
</v>
      </c>
      <c r="D105" s="34" t="str">
        <f>IFERROR(__xludf.DUMMYFUNCTION("""COMPUTED_VALUE"""),"Do not make assumption about the learning level of the students when you have students with different levels.")</f>
        <v>Do not make assumption about the learning level of the students when you have students with different levels.</v>
      </c>
      <c r="E105" s="35"/>
      <c r="F105" s="7" t="s">
        <v>9</v>
      </c>
      <c r="G105" s="7"/>
    </row>
    <row r="106">
      <c r="A106" s="32">
        <v>162.0</v>
      </c>
      <c r="B106" s="33" t="s">
        <v>31</v>
      </c>
      <c r="C106" s="10" t="str">
        <f>IFERROR(__xludf.DUMMYFUNCTION("filter('Imported Recommendations'!B:D,'Imported Recommendations'!A:A=A106)"),"I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D106" s="34"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E106" s="35"/>
      <c r="F106" s="7" t="s">
        <v>8</v>
      </c>
      <c r="G106" s="31"/>
    </row>
    <row r="107">
      <c r="A107" s="32">
        <v>163.0</v>
      </c>
      <c r="B107" s="33" t="s">
        <v>31</v>
      </c>
      <c r="C107" s="10" t="str">
        <f>IFERROR(__xludf.DUMMYFUNCTION("filter('Imported Recommendations'!B:D,'Imported Recommendations'!A:A=A107)"),"what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D107" s="34" t="str">
        <f>IFERROR(__xludf.DUMMYFUNCTION("""COMPUTED_VALUE"""),"Introduce a concept and do labs with creating DevOps pipeline, setup A/B tests, and automated tests.")</f>
        <v>Introduce a concept and do labs with creating DevOps pipeline, setup A/B tests, and automated tests.</v>
      </c>
      <c r="E107" s="35"/>
      <c r="F107" s="7" t="s">
        <v>9</v>
      </c>
      <c r="G107" s="7"/>
    </row>
    <row r="108">
      <c r="A108" s="32">
        <v>165.0</v>
      </c>
      <c r="B108" s="33" t="s">
        <v>31</v>
      </c>
      <c r="C108" s="10" t="str">
        <f>IFERROR(__xludf.DUMMYFUNCTION("filter('Imported Recommendations'!B:D,'Imported Recommendations'!A:A=A108)"),"Also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D108" s="34" t="str">
        <f>IFERROR(__xludf.DUMMYFUNCTION("""COMPUTED_VALUE"""),"The project of the class should not be very small and must be challenging.")</f>
        <v>The project of the class should not be very small and must be challenging.</v>
      </c>
      <c r="E108" s="35"/>
      <c r="F108" s="7" t="s">
        <v>9</v>
      </c>
      <c r="G108" s="31" t="s">
        <v>38</v>
      </c>
    </row>
    <row r="109">
      <c r="A109" s="32">
        <v>166.0</v>
      </c>
      <c r="B109" s="33" t="s">
        <v>31</v>
      </c>
      <c r="C109" s="10" t="str">
        <f>IFERROR(__xludf.DUMMYFUNCTION("filter('Imported Recommendations'!B:D,'Imported Recommendations'!A:A=A109)"),"for exam can be to use an open source application that we can use")</f>
        <v>for exam can be to use an open source application that we can use</v>
      </c>
      <c r="D109" s="34" t="str">
        <f>IFERROR(__xludf.DUMMYFUNCTION("""COMPUTED_VALUE"""),"For exam can be to use an open source application that we can use.")</f>
        <v>For exam can be to use an open source application that we can use.</v>
      </c>
      <c r="E109" s="35"/>
      <c r="F109" s="7" t="s">
        <v>9</v>
      </c>
      <c r="G109" s="31" t="s">
        <v>39</v>
      </c>
    </row>
    <row r="110">
      <c r="A110" s="32">
        <v>168.0</v>
      </c>
      <c r="B110" s="33" t="s">
        <v>31</v>
      </c>
      <c r="C110" s="10" t="str">
        <f>IFERROR(__xludf.DUMMYFUNCTION("filter('Imported Recommendations'!B:D,'Imported Recommendations'!A:A=A110)"),"for performance testing we use JMeter")</f>
        <v>for performance testing we use JMeter</v>
      </c>
      <c r="D110" s="34" t="str">
        <f>IFERROR(__xludf.DUMMYFUNCTION("""COMPUTED_VALUE"""),"Use JMeter for performance testing.")</f>
        <v>Use JMeter for performance testing.</v>
      </c>
      <c r="E110" s="35"/>
      <c r="F110" s="7" t="s">
        <v>8</v>
      </c>
      <c r="G110" s="7"/>
    </row>
    <row r="111">
      <c r="A111" s="32">
        <v>169.0</v>
      </c>
      <c r="B111" s="33" t="s">
        <v>31</v>
      </c>
      <c r="C111" s="10" t="str">
        <f>IFERROR(__xludf.DUMMYFUNCTION("filter('Imported Recommendations'!B:D,'Imported Recommendations'!A:A=A111)"),"we also security platform like, uh, Zap")</f>
        <v>we also security platform like, uh, Zap</v>
      </c>
      <c r="D111" s="34" t="str">
        <f>IFERROR(__xludf.DUMMYFUNCTION("""COMPUTED_VALUE"""),"Use OWASP Zap as security platform.")</f>
        <v>Use OWASP Zap as security platform.</v>
      </c>
      <c r="E111" s="35"/>
      <c r="F111" s="7" t="s">
        <v>8</v>
      </c>
      <c r="G111" s="7"/>
    </row>
    <row r="112">
      <c r="A112" s="32">
        <v>171.0</v>
      </c>
      <c r="B112" s="33" t="s">
        <v>31</v>
      </c>
      <c r="C112" s="10" t="str">
        <f>IFERROR(__xludf.DUMMYFUNCTION("filter('Imported Recommendations'!B:D,'Imported Recommendations'!A:A=A112)"),"Quite often, what we do is have someone in our team to implement the application.")</f>
        <v>Quite often, what we do is have someone in our team to implement the application.</v>
      </c>
      <c r="D112" s="34" t="str">
        <f>IFERROR(__xludf.DUMMYFUNCTION("""COMPUTED_VALUE"""),"Someone from teacher staff implements the sample application.")</f>
        <v>Someone from teacher staff implements the sample application.</v>
      </c>
      <c r="E112" s="35"/>
      <c r="F112" s="7" t="s">
        <v>8</v>
      </c>
      <c r="G112" s="7"/>
    </row>
    <row r="113">
      <c r="A113" s="32">
        <v>172.0</v>
      </c>
      <c r="B113" s="33" t="s">
        <v>31</v>
      </c>
      <c r="C113" s="10" t="str">
        <f>IFERROR(__xludf.DUMMYFUNCTION("filter('Imported Recommendations'!B:D,'Imported Recommendations'!A:A=A113)"),"So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D113" s="34"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E113" s="35" t="str">
        <f>IFERROR(__xludf.DUMMYFUNCTION("""COMPUTED_VALUE"""),"Divide the course into 80% of concepts and 20% of applications.")</f>
        <v>Divide the course into 80% of concepts and 20% of applications.</v>
      </c>
      <c r="F113" s="7" t="s">
        <v>9</v>
      </c>
      <c r="G113" s="7"/>
    </row>
    <row r="114">
      <c r="A114" s="32">
        <v>175.0</v>
      </c>
      <c r="B114" s="33" t="s">
        <v>31</v>
      </c>
      <c r="C114" s="10" t="str">
        <f>IFERROR(__xludf.DUMMYFUNCTION("filter('Imported Recommendations'!B:D,'Imported Recommendations'!A:A=A114)"),"I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D114" s="34" t="str">
        <f>IFERROR(__xludf.DUMMYFUNCTION("""COMPUTED_VALUE"""),"Qualified teacher assistant is important to setup the labs.
It is good to have teacher assistants with labs.")</f>
        <v>Qualified teacher assistant is important to setup the labs.
It is good to have teacher assistants with labs.</v>
      </c>
      <c r="E114" s="35" t="str">
        <f>IFERROR(__xludf.DUMMYFUNCTION("""COMPUTED_VALUE"""),"Teacher assistants are helpful with labs.")</f>
        <v>Teacher assistants are helpful with labs.</v>
      </c>
      <c r="F114" s="7" t="s">
        <v>8</v>
      </c>
      <c r="G114" s="7"/>
    </row>
    <row r="115">
      <c r="A115" s="32">
        <v>177.0</v>
      </c>
      <c r="B115" s="33" t="s">
        <v>31</v>
      </c>
      <c r="C115" s="10" t="str">
        <f>IFERROR(__xludf.DUMMYFUNCTION("filter('Imported Recommendations'!B:D,'Imported Recommendations'!A:A=A115)"),"The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D115" s="34" t="str">
        <f>IFERROR(__xludf.DUMMYFUNCTION("""COMPUTED_VALUE"""),"The Phoenix book by Jean Kim is a novel that covers the Ops side of DevOps.")</f>
        <v>The Phoenix book by Jean Kim is a novel that covers the Ops side of DevOps.</v>
      </c>
      <c r="E115" s="35"/>
      <c r="F115" s="7" t="s">
        <v>9</v>
      </c>
      <c r="G115" s="7"/>
    </row>
    <row r="116">
      <c r="A116" s="32">
        <v>178.0</v>
      </c>
      <c r="B116" s="33" t="s">
        <v>31</v>
      </c>
      <c r="C116" s="10" t="str">
        <f>IFERROR(__xludf.DUMMYFUNCTION("filter('Imported Recommendations'!B:D,'Imported Recommendations'!A:A=A116)"),"I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D116" s="34" t="str">
        <f>IFERROR(__xludf.DUMMYFUNCTION("""COMPUTED_VALUE"""),"The teacher assistants need to be very qualified.")</f>
        <v>The teacher assistants need to be very qualified.</v>
      </c>
      <c r="E116" s="35"/>
      <c r="F116" s="7" t="s">
        <v>8</v>
      </c>
      <c r="G116" s="7"/>
    </row>
    <row r="117">
      <c r="A117" s="32">
        <v>180.0</v>
      </c>
      <c r="B117" s="33" t="s">
        <v>31</v>
      </c>
      <c r="C117" s="10" t="str">
        <f>IFERROR(__xludf.DUMMYFUNCTION("filter('Imported Recommendations'!B:D,'Imported Recommendations'!A:A=A117)"),"We try to make it minimal")</f>
        <v>We try to make it minimal</v>
      </c>
      <c r="D117" s="34" t="str">
        <f>IFERROR(__xludf.DUMMYFUNCTION("""COMPUTED_VALUE"""),"Try to make the environment setup minimal.")</f>
        <v>Try to make the environment setup minimal.</v>
      </c>
      <c r="E117" s="35"/>
      <c r="F117" s="7" t="s">
        <v>9</v>
      </c>
      <c r="G117" s="7"/>
    </row>
    <row r="118">
      <c r="A118" s="32">
        <v>181.0</v>
      </c>
      <c r="B118" s="33" t="s">
        <v>31</v>
      </c>
      <c r="C118" s="10" t="str">
        <f>IFERROR(__xludf.DUMMYFUNCTION("filter('Imported Recommendations'!B:D,'Imported Recommendations'!A:A=A118)"),"initially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D118" s="34"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E118" s="35"/>
      <c r="F118" s="7" t="s">
        <v>9</v>
      </c>
      <c r="G118" s="7"/>
    </row>
    <row r="119">
      <c r="A119" s="32">
        <v>183.0</v>
      </c>
      <c r="B119" s="33" t="s">
        <v>31</v>
      </c>
      <c r="C119" s="10" t="str">
        <f>IFERROR(__xludf.DUMMYFUNCTION("filter('Imported Recommendations'!B:D,'Imported Recommendations'!A:A=A119)"),"First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D119" s="34"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E119" s="40" t="str">
        <f>IFERROR(__xludf.DUMMYFUNCTION("""COMPUTED_VALUE"""),"Explain the course objectives to the students.")</f>
        <v>Explain the course objectives to the students.</v>
      </c>
      <c r="F119" s="7" t="s">
        <v>8</v>
      </c>
      <c r="G119" s="7"/>
    </row>
    <row r="120">
      <c r="A120" s="32">
        <v>184.0</v>
      </c>
      <c r="B120" s="33" t="s">
        <v>31</v>
      </c>
      <c r="C120" s="10" t="str">
        <f>IFERROR(__xludf.DUMMYFUNCTION("filter('Imported Recommendations'!B:D,'Imported Recommendations'!A:A=A120)"),"I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D120" s="34"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E120" s="35" t="str">
        <f>IFERROR(__xludf.DUMMYFUNCTION("""COMPUTED_VALUE"""),"Use case studies in the exams.")</f>
        <v>Use case studies in the exams.</v>
      </c>
      <c r="F120" s="7" t="s">
        <v>8</v>
      </c>
      <c r="G120" s="7"/>
    </row>
    <row r="121">
      <c r="A121" s="32">
        <v>186.0</v>
      </c>
      <c r="B121" s="33" t="s">
        <v>31</v>
      </c>
      <c r="C121" s="10" t="str">
        <f>IFERROR(__xludf.DUMMYFUNCTION("filter('Imported Recommendations'!B:D,'Imported Recommendations'!A:A=A121)"),"it's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D121" s="34" t="str">
        <f>IFERROR(__xludf.DUMMYFUNCTION("""COMPUTED_VALUE"""),"constantly try to figure out how to improve the quality of the course")</f>
        <v>constantly try to figure out how to improve the quality of the course</v>
      </c>
      <c r="E121" s="35"/>
      <c r="F121" s="7" t="s">
        <v>8</v>
      </c>
      <c r="G121" s="7"/>
    </row>
    <row r="122">
      <c r="A122" s="32">
        <v>187.0</v>
      </c>
      <c r="B122" s="33" t="s">
        <v>31</v>
      </c>
      <c r="C122" s="10" t="str">
        <f>IFERROR(__xludf.DUMMYFUNCTION("filter('Imported Recommendations'!B:D,'Imported Recommendations'!A:A=A122)"),"I'm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D122" s="34"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E122" s="35" t="str">
        <f>IFERROR(__xludf.DUMMYFUNCTION("""COMPUTED_VALUE"""),"Select industrial speakers carefully to share their experience with the students.")</f>
        <v>Select industrial speakers carefully to share their experience with the students.</v>
      </c>
      <c r="F122" s="7" t="s">
        <v>8</v>
      </c>
      <c r="G122" s="7"/>
    </row>
    <row r="123">
      <c r="A123" s="32">
        <v>189.0</v>
      </c>
      <c r="B123" s="33" t="s">
        <v>31</v>
      </c>
      <c r="C123" s="10" t="str">
        <f>IFERROR(__xludf.DUMMYFUNCTION("filter('Imported Recommendations'!B:D,'Imported Recommendations'!A:A=A123)"),"Then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D123" s="34"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E123" s="35"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F123" s="7" t="s">
        <v>9</v>
      </c>
      <c r="G123" s="7"/>
    </row>
    <row r="124">
      <c r="A124" s="32">
        <v>190.0</v>
      </c>
      <c r="B124" s="33" t="s">
        <v>31</v>
      </c>
      <c r="C124" s="10" t="str">
        <f>IFERROR(__xludf.DUMMYFUNCTION("filter('Imported Recommendations'!B:D,'Imported Recommendations'!A:A=A124)"),"So, uh, we didn't have some predefined, uh, projects, and as we can, yes, this was a bigger problem for us.")</f>
        <v>So, uh, we didn't have some predefined, uh, projects, and as we can, yes, this was a bigger problem for us.</v>
      </c>
      <c r="D124" s="37" t="str">
        <f>IFERROR(__xludf.DUMMYFUNCTION("""COMPUTED_VALUE"""),"Predefined project is important for the organization of the course.")</f>
        <v>Predefined project is important for the organization of the course.</v>
      </c>
      <c r="E124" s="35"/>
      <c r="F124" s="7" t="s">
        <v>9</v>
      </c>
      <c r="G124" s="31" t="s">
        <v>40</v>
      </c>
    </row>
    <row r="125">
      <c r="A125" s="32">
        <v>192.0</v>
      </c>
      <c r="B125" s="33" t="s">
        <v>31</v>
      </c>
      <c r="C125" s="10" t="str">
        <f>IFERROR(__xludf.DUMMYFUNCTION("filter('Imported Recommendations'!B:D,'Imported Recommendations'!A:A=A125)"),"And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D125" s="34"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E125" s="35" t="str">
        <f>IFERROR(__xludf.DUMMYFUNCTION("""COMPUTED_VALUE"""),"Make students engage with people from other teams in the classes.")</f>
        <v>Make students engage with people from other teams in the classes.</v>
      </c>
      <c r="F125" s="7" t="s">
        <v>9</v>
      </c>
      <c r="G125" s="31" t="s">
        <v>41</v>
      </c>
    </row>
    <row r="126">
      <c r="A126" s="32">
        <v>193.0</v>
      </c>
      <c r="B126" s="33" t="s">
        <v>31</v>
      </c>
      <c r="C126" s="10" t="str">
        <f>IFERROR(__xludf.DUMMYFUNCTION("filter('Imported Recommendations'!B:D,'Imported Recommendations'!A:A=A126)"),"if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D126" s="34" t="str">
        <f>IFERROR(__xludf.DUMMYFUNCTION("""COMPUTED_VALUE"""),"Teacher assistants help students with basics of DevOps concepts and tools.")</f>
        <v>Teacher assistants help students with basics of DevOps concepts and tools.</v>
      </c>
      <c r="E126" s="35"/>
      <c r="F126" s="7" t="s">
        <v>8</v>
      </c>
      <c r="G126" s="7"/>
    </row>
    <row r="127">
      <c r="A127" s="32">
        <v>195.0</v>
      </c>
      <c r="B127" s="33" t="s">
        <v>31</v>
      </c>
      <c r="C127" s="10" t="str">
        <f>IFERROR(__xludf.DUMMYFUNCTION("filter('Imported Recommendations'!B:D,'Imported Recommendations'!A:A=A127)"),"So I had to find one that was dying and, uh, hopefully the colleague who was handling his dying course forgot to answer to an email.")</f>
        <v>So I had to find one that was dying and, uh, hopefully the colleague who was handling his dying course forgot to answer to an email.</v>
      </c>
      <c r="D127" s="34" t="str">
        <f>IFERROR(__xludf.DUMMYFUNCTION("""COMPUTED_VALUE"""),"Look for a dying course to include a DevOps one in the curriculum.")</f>
        <v>Look for a dying course to include a DevOps one in the curriculum.</v>
      </c>
      <c r="E127" s="35"/>
      <c r="F127" s="7" t="s">
        <v>9</v>
      </c>
      <c r="G127" s="7"/>
    </row>
    <row r="128">
      <c r="A128" s="32">
        <v>196.0</v>
      </c>
      <c r="B128" s="33" t="s">
        <v>31</v>
      </c>
      <c r="C128" s="10" t="str">
        <f>IFERROR(__xludf.DUMMYFUNCTION("filter('Imported Recommendations'!B:D,'Imported Recommendations'!A:A=A128)"),"So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D128" s="34" t="str">
        <f>IFERROR(__xludf.DUMMYFUNCTION("""COMPUTED_VALUE"""),"Constantly discuss and share the DevOps teaching in an open way.")</f>
        <v>Constantly discuss and share the DevOps teaching in an open way.</v>
      </c>
      <c r="E128" s="35"/>
      <c r="F128" s="7" t="s">
        <v>9</v>
      </c>
      <c r="G128" s="7"/>
    </row>
    <row r="129">
      <c r="A129" s="32">
        <v>198.0</v>
      </c>
      <c r="B129" s="33" t="s">
        <v>31</v>
      </c>
      <c r="C129" s="10" t="str">
        <f>IFERROR(__xludf.DUMMYFUNCTION("filter('Imported Recommendations'!B:D,'Imported Recommendations'!A:A=A129)"),"we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D129" s="34" t="str">
        <f>IFERROR(__xludf.DUMMYFUNCTION("""COMPUTED_VALUE"""),"DevOps tools are well integrated in Bluemix platform from IBM.")</f>
        <v>DevOps tools are well integrated in Bluemix platform from IBM.</v>
      </c>
      <c r="E129" s="35"/>
      <c r="F129" s="7" t="s">
        <v>9</v>
      </c>
      <c r="G129" s="7"/>
    </row>
    <row r="130">
      <c r="A130" s="32">
        <v>199.0</v>
      </c>
      <c r="B130" s="33" t="s">
        <v>31</v>
      </c>
      <c r="C130" s="10" t="str">
        <f>IFERROR(__xludf.DUMMYFUNCTION("filter('Imported Recommendations'!B:D,'Imported Recommendations'!A:A=A130)"),"And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D130" s="34" t="str">
        <f>IFERROR(__xludf.DUMMYFUNCTION("""COMPUTED_VALUE"""),"DevOps course as elective course have students that wanted to learn about DevOps.")</f>
        <v>DevOps course as elective course have students that wanted to learn about DevOps.</v>
      </c>
      <c r="E130" s="35"/>
      <c r="F130" s="7" t="s">
        <v>9</v>
      </c>
      <c r="G130" s="7"/>
    </row>
  </sheetData>
  <dataValidations>
    <dataValidation type="list" allowBlank="1" sqref="F2:F130">
      <formula1>"yes,no"</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3.71"/>
    <col customWidth="1" min="3" max="3" width="86.14"/>
    <col customWidth="1" min="4" max="5" width="59.0"/>
    <col customWidth="1" min="6" max="6" width="28.71"/>
    <col customWidth="1" min="7" max="7" width="47.43"/>
  </cols>
  <sheetData>
    <row r="1">
      <c r="A1" s="1" t="s">
        <v>0</v>
      </c>
      <c r="B1" s="1" t="s">
        <v>1</v>
      </c>
      <c r="C1" s="13" t="s">
        <v>2</v>
      </c>
      <c r="D1" s="13" t="s">
        <v>3</v>
      </c>
      <c r="E1" s="13" t="s">
        <v>4</v>
      </c>
      <c r="F1" s="4" t="s">
        <v>5</v>
      </c>
      <c r="G1" s="4" t="s">
        <v>6</v>
      </c>
    </row>
    <row r="2">
      <c r="A2" s="5">
        <v>16.0</v>
      </c>
      <c r="B2" s="6" t="s">
        <v>31</v>
      </c>
      <c r="C2" s="5" t="str">
        <f>IFERROR(__xludf.DUMMYFUNCTION("filter('Imported Recommendations'!B:D,'Imported Recommendations'!A:A=A2)"),"The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D2" s="5"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E2" s="5" t="str">
        <f>IFERROR(__xludf.DUMMYFUNCTION("""COMPUTED_VALUE"""),"DevOps deserves a discipline in the curriculum.")</f>
        <v>DevOps deserves a discipline in the curriculum.</v>
      </c>
      <c r="F2" s="7" t="s">
        <v>9</v>
      </c>
      <c r="G2" s="14"/>
    </row>
    <row r="3">
      <c r="A3" s="5">
        <v>18.0</v>
      </c>
      <c r="B3" s="6" t="s">
        <v>31</v>
      </c>
      <c r="C3" s="5" t="str">
        <f>IFERROR(__xludf.DUMMYFUNCTION("filter('Imported Recommendations'!B:D,'Imported Recommendations'!A:A=A3)"),"We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D3" s="5" t="str">
        <f>IFERROR(__xludf.DUMMYFUNCTION("""COMPUTED_VALUE"""),"Monitoring of students through activities in a learning support environment.")</f>
        <v>Monitoring of students through activities in a learning support environment.</v>
      </c>
      <c r="E3" s="5"/>
      <c r="F3" s="7" t="s">
        <v>8</v>
      </c>
      <c r="G3" s="15"/>
    </row>
    <row r="4">
      <c r="A4" s="5">
        <v>19.0</v>
      </c>
      <c r="B4" s="6" t="s">
        <v>31</v>
      </c>
      <c r="C4" s="5" t="str">
        <f>IFERROR(__xludf.DUMMYFUNCTION("filter('Imported Recommendations'!B:D,'Imported Recommendations'!A:A=A4)"),"Usually,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D4" s="5" t="str">
        <f>IFERROR(__xludf.DUMMYFUNCTION("""COMPUTED_VALUE"""),"Ask students to adopt the tools used by instructors.")</f>
        <v>Ask students to adopt the tools used by instructors.</v>
      </c>
      <c r="E4" s="5"/>
      <c r="F4" s="7" t="s">
        <v>8</v>
      </c>
      <c r="G4" s="15"/>
    </row>
    <row r="5">
      <c r="A5" s="5">
        <v>21.0</v>
      </c>
      <c r="B5" s="6" t="s">
        <v>31</v>
      </c>
      <c r="C5" s="5" t="str">
        <f>IFERROR(__xludf.DUMMYFUNCTION("filter('Imported Recommendations'!B:D,'Imported Recommendations'!A:A=A5)"),"They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D5" s="5"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E5" s="5" t="str">
        <f>IFERROR(__xludf.DUMMYFUNCTION("""COMPUTED_VALUE"""),"Teach social coding.")</f>
        <v>Teach social coding.</v>
      </c>
      <c r="F5" s="7" t="s">
        <v>8</v>
      </c>
      <c r="G5" s="15"/>
    </row>
    <row r="6">
      <c r="A6" s="5">
        <v>22.0</v>
      </c>
      <c r="B6" s="6" t="s">
        <v>31</v>
      </c>
      <c r="C6" s="5" t="str">
        <f>IFERROR(__xludf.DUMMYFUNCTION("filter('Imported Recommendations'!B:D,'Imported Recommendations'!A:A=A6)"),"They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D6" s="5" t="str">
        <f>IFERROR(__xludf.DUMMYFUNCTION("""COMPUTED_VALUE"""),"Adopt a more professional approach in which teachers act as clients.")</f>
        <v>Adopt a more professional approach in which teachers act as clients.</v>
      </c>
      <c r="E6" s="5"/>
      <c r="F6" s="7" t="s">
        <v>8</v>
      </c>
      <c r="G6" s="16"/>
    </row>
    <row r="7">
      <c r="A7" s="41">
        <v>27.0</v>
      </c>
      <c r="B7" s="6" t="s">
        <v>31</v>
      </c>
      <c r="C7" s="5" t="str">
        <f>IFERROR(__xludf.DUMMYFUNCTION("filter('Imported Recommendations'!B:D,'Imported Recommendations'!A:A=A7)"),"In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D7" s="5" t="str">
        <f>IFERROR(__xludf.DUMMYFUNCTION("""COMPUTED_VALUE"""),"Teach the part of cloud vulnerability, architecture, and network management to the security classes in DevOps.")</f>
        <v>Teach the part of cloud vulnerability, architecture, and network management to the security classes in DevOps.</v>
      </c>
      <c r="E7" s="5"/>
      <c r="F7" s="7" t="s">
        <v>9</v>
      </c>
      <c r="G7" s="16"/>
    </row>
    <row r="8">
      <c r="A8" s="41">
        <v>30.0</v>
      </c>
      <c r="B8" s="6" t="s">
        <v>31</v>
      </c>
      <c r="C8" s="5" t="str">
        <f>IFERROR(__xludf.DUMMYFUNCTION("filter('Imported Recommendations'!B:D,'Imported Recommendations'!A:A=A8)"),"Having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D8" s="5"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E8" s="5" t="str">
        <f>IFERROR(__xludf.DUMMYFUNCTION("""COMPUTED_VALUE"""),"Teach using examples.")</f>
        <v>Teach using examples.</v>
      </c>
      <c r="F8" s="7" t="s">
        <v>8</v>
      </c>
      <c r="G8" s="16"/>
    </row>
    <row r="9">
      <c r="A9" s="41">
        <v>33.0</v>
      </c>
      <c r="B9" s="6" t="s">
        <v>31</v>
      </c>
      <c r="C9" s="5" t="str">
        <f>IFERROR(__xludf.DUMMYFUNCTION("filter('Imported Recommendations'!B:D,'Imported Recommendations'!A:A=A9)"),"Present [...] cases on how this translates, [...] eliminating the silos between operations and development.")</f>
        <v>Present [...] cases on how this translates, [...] eliminating the silos between operations and development.</v>
      </c>
      <c r="D9" s="5"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E9" s="5" t="str">
        <f>IFERROR(__xludf.DUMMYFUNCTION("""COMPUTED_VALUE"""),"Show use cases of DevOps.")</f>
        <v>Show use cases of DevOps.</v>
      </c>
      <c r="F9" s="7" t="s">
        <v>9</v>
      </c>
      <c r="G9" s="16"/>
    </row>
    <row r="10">
      <c r="A10" s="41">
        <v>34.0</v>
      </c>
      <c r="B10" s="6" t="s">
        <v>31</v>
      </c>
      <c r="C10" s="10" t="str">
        <f>IFERROR(__xludf.DUMMYFUNCTION("filter('Imported Recommendations'!B:D,'Imported Recommendations'!A:A=A10)"),"Always start with culture before moving on to teaching or tool-based demonstration.")</f>
        <v>Always start with culture before moving on to teaching or tool-based demonstration.</v>
      </c>
      <c r="D10" s="10" t="str">
        <f>IFERROR(__xludf.DUMMYFUNCTION("""COMPUTED_VALUE"""),"Start teaching DevOps from the culture. Only then demonstrate with tools.")</f>
        <v>Start teaching DevOps from the culture. Only then demonstrate with tools.</v>
      </c>
      <c r="E10" s="10"/>
      <c r="F10" s="7" t="s">
        <v>9</v>
      </c>
      <c r="G10" s="16"/>
    </row>
    <row r="11">
      <c r="A11" s="41">
        <v>36.0</v>
      </c>
      <c r="B11" s="6" t="s">
        <v>31</v>
      </c>
      <c r="C11" s="10" t="str">
        <f>IFERROR(__xludf.DUMMYFUNCTION("filter('Imported Recommendations'!B:D,'Imported Recommendations'!A:A=A11)"),"If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D11" s="5"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E11" s="5" t="str">
        <f>IFERROR(__xludf.DUMMYFUNCTION("""COMPUTED_VALUE"""),"Use cloud provider services.")</f>
        <v>Use cloud provider services.</v>
      </c>
      <c r="F11" s="7" t="s">
        <v>8</v>
      </c>
      <c r="G11" s="16"/>
    </row>
    <row r="12">
      <c r="A12" s="41">
        <v>37.0</v>
      </c>
      <c r="B12" s="6" t="s">
        <v>31</v>
      </c>
      <c r="C12" s="5" t="str">
        <f>IFERROR(__xludf.DUMMYFUNCTION("filter('Imported Recommendations'!B:D,'Imported Recommendations'!A:A=A12)"),"Put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D12" s="5"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E12" s="5" t="str">
        <f>IFERROR(__xludf.DUMMYFUNCTION("""COMPUTED_VALUE"""),"Promotes discussions about DevOps concepts and related issues.")</f>
        <v>Promotes discussions about DevOps concepts and related issues.</v>
      </c>
      <c r="F12" s="7" t="s">
        <v>8</v>
      </c>
      <c r="G12" s="16"/>
    </row>
    <row r="13">
      <c r="A13" s="41">
        <v>39.0</v>
      </c>
      <c r="B13" s="6" t="s">
        <v>31</v>
      </c>
      <c r="C13" s="5" t="str">
        <f>IFERROR(__xludf.DUMMYFUNCTION("filter('Imported Recommendations'!B:D,'Imported Recommendations'!A:A=A13)"),"This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13" s="5" t="str">
        <f>IFERROR(__xludf.DUMMYFUNCTION("""COMPUTED_VALUE"""),"Half of the curriculum with DevOps concepts/culture. Half the curriculum with tools.")</f>
        <v>Half of the curriculum with DevOps concepts/culture. Half the curriculum with tools.</v>
      </c>
      <c r="E13" s="5"/>
      <c r="F13" s="7" t="s">
        <v>9</v>
      </c>
      <c r="G13" s="16"/>
    </row>
    <row r="14">
      <c r="A14" s="41">
        <v>40.0</v>
      </c>
      <c r="B14" s="6" t="s">
        <v>31</v>
      </c>
      <c r="C14" s="5" t="str">
        <f>IFERROR(__xludf.DUMMYFUNCTION("filter('Imported Recommendations'!B:D,'Imported Recommendations'!A:A=A14)"),"For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D14" s="5"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E14" s="5"/>
      <c r="F14" s="7" t="s">
        <v>9</v>
      </c>
      <c r="G14" s="16"/>
    </row>
    <row r="15">
      <c r="A15" s="41">
        <v>43.0</v>
      </c>
      <c r="B15" s="6" t="s">
        <v>31</v>
      </c>
      <c r="C15" s="5" t="str">
        <f>IFERROR(__xludf.DUMMYFUNCTION("filter('Imported Recommendations'!B:D,'Imported Recommendations'!A:A=A15)"),"And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D15" s="5"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E15" s="5" t="str">
        <f>IFERROR(__xludf.DUMMYFUNCTION("""COMPUTED_VALUE"""),"Customize the teaching based on students background.")</f>
        <v>Customize the teaching based on students background.</v>
      </c>
      <c r="F15" s="7" t="s">
        <v>8</v>
      </c>
      <c r="G15" s="16"/>
    </row>
    <row r="16">
      <c r="A16" s="41">
        <v>45.0</v>
      </c>
      <c r="B16" s="6" t="s">
        <v>31</v>
      </c>
      <c r="C16" s="5" t="str">
        <f>IFERROR(__xludf.DUMMYFUNCTION("filter('Imported Recommendations'!B:D,'Imported Recommendations'!A:A=A16)"),"All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D16" s="5"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E16" s="5" t="str">
        <f>IFERROR(__xludf.DUMMYFUNCTION("""COMPUTED_VALUE"""),"Terraform as a deployment provisioning tool can be used in teaching devops.")</f>
        <v>Terraform as a deployment provisioning tool can be used in teaching devops.</v>
      </c>
      <c r="F16" s="7" t="s">
        <v>8</v>
      </c>
      <c r="G16" s="16"/>
    </row>
    <row r="17">
      <c r="A17" s="41">
        <v>46.0</v>
      </c>
      <c r="B17" s="6" t="s">
        <v>31</v>
      </c>
      <c r="C17" s="5" t="str">
        <f>IFERROR(__xludf.DUMMYFUNCTION("filter('Imported Recommendations'!B:D,'Imported Recommendations'!A:A=A17)"),"To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D17" s="5"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E17" s="5" t="str">
        <f>IFERROR(__xludf.DUMMYFUNCTION("""COMPUTED_VALUE"""),"Interact with the students.")</f>
        <v>Interact with the students.</v>
      </c>
      <c r="F17" s="7" t="s">
        <v>8</v>
      </c>
      <c r="G17" s="16"/>
    </row>
    <row r="18">
      <c r="A18" s="41">
        <v>48.0</v>
      </c>
      <c r="B18" s="6" t="s">
        <v>31</v>
      </c>
      <c r="C18" s="5" t="str">
        <f>IFERROR(__xludf.DUMMYFUNCTION("filter('Imported Recommendations'!B:D,'Imported Recommendations'!A:A=A18)"),"So,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D18" s="5" t="str">
        <f>IFERROR(__xludf.DUMMYFUNCTION("""COMPUTED_VALUE"""),"Use examples with students to teach theory. For instance, we are using blocks or Trello to teach Lean.")</f>
        <v>Use examples with students to teach theory. For instance, we are using blocks or Trello to teach Lean.</v>
      </c>
      <c r="E18" s="5"/>
      <c r="F18" s="7" t="s">
        <v>8</v>
      </c>
      <c r="G18" s="16"/>
    </row>
    <row r="19">
      <c r="A19" s="41">
        <v>49.0</v>
      </c>
      <c r="B19" s="6" t="s">
        <v>31</v>
      </c>
      <c r="C19" s="5" t="str">
        <f>IFERROR(__xludf.DUMMYFUNCTION("filter('Imported Recommendations'!B:D,'Imported Recommendations'!A:A=A19)"),"Suppose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D19" s="5"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E19" s="5" t="str">
        <f>IFERROR(__xludf.DUMMYFUNCTION("""COMPUTED_VALUE"""),"Seek to know in advance the needs and limitations of the class.")</f>
        <v>Seek to know in advance the needs and limitations of the class.</v>
      </c>
      <c r="F19" s="7" t="s">
        <v>8</v>
      </c>
      <c r="G19" s="16"/>
    </row>
    <row r="20">
      <c r="A20" s="41">
        <v>51.0</v>
      </c>
      <c r="B20" s="6" t="s">
        <v>31</v>
      </c>
      <c r="C20" s="5" t="str">
        <f>IFERROR(__xludf.DUMMYFUNCTION("filter('Imported Recommendations'!B:D,'Imported Recommendations'!A:A=A20)"),"If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D20" s="5" t="str">
        <f>IFERROR(__xludf.DUMMYFUNCTION("""COMPUTED_VALUE"""),"Share course prerequisites with students in advance.")</f>
        <v>Share course prerequisites with students in advance.</v>
      </c>
      <c r="E20" s="5"/>
      <c r="F20" s="7" t="s">
        <v>8</v>
      </c>
      <c r="G20" s="16"/>
    </row>
    <row r="21">
      <c r="A21" s="41">
        <v>52.0</v>
      </c>
      <c r="B21" s="6" t="s">
        <v>31</v>
      </c>
      <c r="C21" s="10" t="str">
        <f>IFERROR(__xludf.DUMMYFUNCTION("filter('Imported Recommendations'!B:D,'Imported Recommendations'!A:A=A21)"),"These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D21" s="10"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E21" s="10" t="str">
        <f>IFERROR(__xludf.DUMMYFUNCTION("""COMPUTED_VALUE"""),"Create tutorials to help students.")</f>
        <v>Create tutorials to help students.</v>
      </c>
      <c r="F21" s="7" t="s">
        <v>8</v>
      </c>
      <c r="G21" s="16"/>
    </row>
    <row r="22">
      <c r="A22" s="41">
        <v>54.0</v>
      </c>
      <c r="B22" s="6" t="s">
        <v>31</v>
      </c>
      <c r="C22" s="10" t="str">
        <f>IFERROR(__xludf.DUMMYFUNCTION("filter('Imported Recommendations'!B:D,'Imported Recommendations'!A:A=A22)"),"From a didactic point of view, we leave one or two hours before each day; there is a specific infra team to answer any student's doubts.")</f>
        <v>From a didactic point of view, we leave one or two hours before each day; there is a specific infra team to answer any student's doubts.</v>
      </c>
      <c r="D22" s="10" t="str">
        <f>IFERROR(__xludf.DUMMYFUNCTION("""COMPUTED_VALUE"""),"There is a specific support team to answer students' questions about the related infrastructure part.")</f>
        <v>There is a specific support team to answer students' questions about the related infrastructure part.</v>
      </c>
      <c r="E22" s="10"/>
      <c r="F22" s="7" t="s">
        <v>8</v>
      </c>
      <c r="G22" s="16"/>
    </row>
    <row r="23">
      <c r="A23" s="41">
        <v>55.0</v>
      </c>
      <c r="B23" s="6" t="s">
        <v>31</v>
      </c>
      <c r="C23" s="10" t="str">
        <f>IFERROR(__xludf.DUMMYFUNCTION("filter('Imported Recommendations'!B:D,'Imported Recommendations'!A:A=A23)"),"Realize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D23" s="10" t="str">
        <f>IFERROR(__xludf.DUMMYFUNCTION("""COMPUTED_VALUE"""),"Avoid messing around with specific problems faced by students, dealing in a personalized way at the right time.")</f>
        <v>Avoid messing around with specific problems faced by students, dealing in a personalized way at the right time.</v>
      </c>
      <c r="E23" s="10"/>
      <c r="F23" s="7" t="s">
        <v>8</v>
      </c>
      <c r="G23" s="16"/>
    </row>
    <row r="24">
      <c r="A24" s="41">
        <v>57.0</v>
      </c>
      <c r="B24" s="6" t="s">
        <v>31</v>
      </c>
      <c r="C24" s="10" t="str">
        <f>IFERROR(__xludf.DUMMYFUNCTION("filter('Imported Recommendations'!B:D,'Imported Recommendations'!A:A=A24)"),"There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D24" s="10"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E24" s="10" t="str">
        <f>IFERROR(__xludf.DUMMYFUNCTION("""COMPUTED_VALUE"""),"Use streaming tool like Zoom in remote learning scenario.")</f>
        <v>Use streaming tool like Zoom in remote learning scenario.</v>
      </c>
      <c r="F24" s="7" t="s">
        <v>8</v>
      </c>
      <c r="G24" s="16"/>
    </row>
    <row r="25">
      <c r="A25" s="41">
        <v>58.0</v>
      </c>
      <c r="B25" s="6" t="s">
        <v>31</v>
      </c>
      <c r="C25" s="10" t="str">
        <f>IFERROR(__xludf.DUMMYFUNCTION("filter('Imported Recommendations'!B:D,'Imported Recommendations'!A:A=A25)"),"I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D25" s="10"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E25" s="10"/>
      <c r="F25" s="7" t="s">
        <v>8</v>
      </c>
      <c r="G25" s="16"/>
    </row>
    <row r="26">
      <c r="A26" s="41">
        <v>60.0</v>
      </c>
      <c r="B26" s="6" t="s">
        <v>31</v>
      </c>
      <c r="C26" s="10" t="str">
        <f>IFERROR(__xludf.DUMMYFUNCTION("filter('Imported Recommendations'!B:D,'Imported Recommendations'!A:A=A26)"),"We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D26" s="10"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E26" s="10" t="str">
        <f>IFERROR(__xludf.DUMMYFUNCTION("""COMPUTED_VALUE"""),"Use Jenkins tool.")</f>
        <v>Use Jenkins tool.</v>
      </c>
      <c r="F26" s="7" t="s">
        <v>9</v>
      </c>
      <c r="G26" s="16"/>
    </row>
    <row r="27">
      <c r="A27" s="41">
        <v>61.0</v>
      </c>
      <c r="B27" s="6" t="s">
        <v>31</v>
      </c>
      <c r="C27" s="10" t="str">
        <f>IFERROR(__xludf.DUMMYFUNCTION("filter('Imported Recommendations'!B:D,'Imported Recommendations'!A:A=A27)"),"Notion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D27" s="10" t="str">
        <f>IFERROR(__xludf.DUMMYFUNCTION("""COMPUTED_VALUE"""),"Notion and Trello allow student and teacher interaction in two ways. Gist does not allow it.")</f>
        <v>Notion and Trello allow student and teacher interaction in two ways. Gist does not allow it.</v>
      </c>
      <c r="E27" s="10"/>
      <c r="F27" s="7" t="s">
        <v>8</v>
      </c>
      <c r="G27" s="16"/>
    </row>
    <row r="28">
      <c r="A28" s="41">
        <v>63.0</v>
      </c>
      <c r="B28" s="6" t="s">
        <v>31</v>
      </c>
      <c r="C28" s="10" t="str">
        <f>IFERROR(__xludf.DUMMYFUNCTION("filter('Imported Recommendations'!B:D,'Imported Recommendations'!A:A=A28)"),"It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D28" s="10"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E28" s="10"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F28" s="7" t="s">
        <v>8</v>
      </c>
      <c r="G28" s="16"/>
    </row>
    <row r="29">
      <c r="A29" s="41">
        <v>64.0</v>
      </c>
      <c r="B29" s="6" t="s">
        <v>31</v>
      </c>
      <c r="C29" s="10" t="str">
        <f>IFERROR(__xludf.DUMMYFUNCTION("filter('Imported Recommendations'!B:D,'Imported Recommendations'!A:A=A29)"),"They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D29" s="10"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E29" s="10" t="str">
        <f>IFERROR(__xludf.DUMMYFUNCTION("""COMPUTED_VALUE"""),"Evaluate the course.")</f>
        <v>Evaluate the course.</v>
      </c>
      <c r="F29" s="7" t="s">
        <v>8</v>
      </c>
      <c r="G29" s="16"/>
    </row>
    <row r="30">
      <c r="A30" s="41">
        <v>66.0</v>
      </c>
      <c r="B30" s="6" t="s">
        <v>31</v>
      </c>
      <c r="C30" s="10" t="str">
        <f>IFERROR(__xludf.DUMMYFUNCTION("filter('Imported Recommendations'!B:D,'Imported Recommendations'!A:A=A30)"),"If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D30" s="10" t="str">
        <f>IFERROR(__xludf.DUMMYFUNCTION("""COMPUTED_VALUE"""),"Record a training for the teacher to assess language addiction and whether the class flowed as planned.")</f>
        <v>Record a training for the teacher to assess language addiction and whether the class flowed as planned.</v>
      </c>
      <c r="E30" s="10"/>
      <c r="F30" s="7" t="s">
        <v>8</v>
      </c>
      <c r="G30" s="16"/>
    </row>
    <row r="31">
      <c r="A31" s="41">
        <v>67.0</v>
      </c>
      <c r="B31" s="6" t="s">
        <v>31</v>
      </c>
      <c r="C31" s="10" t="str">
        <f>IFERROR(__xludf.DUMMYFUNCTION("filter('Imported Recommendations'!B:D,'Imported Recommendations'!A:A=A31)"),"Mixing, theoretical and practical [...] is essential.")</f>
        <v>Mixing, theoretical and practical [...] is essential.</v>
      </c>
      <c r="D31" s="10" t="str">
        <f>IFERROR(__xludf.DUMMYFUNCTION("""COMPUTED_VALUE"""),"It is essential to mix the teaching of the theoretical part and the practical part of DevOps.")</f>
        <v>It is essential to mix the teaching of the theoretical part and the practical part of DevOps.</v>
      </c>
      <c r="E31" s="10"/>
      <c r="F31" s="7" t="s">
        <v>9</v>
      </c>
      <c r="G31" s="16"/>
    </row>
    <row r="32">
      <c r="A32" s="41">
        <v>69.0</v>
      </c>
      <c r="B32" s="6" t="s">
        <v>31</v>
      </c>
      <c r="C32" s="10" t="str">
        <f>IFERROR(__xludf.DUMMYFUNCTION("filter('Imported Recommendations'!B:D,'Imported Recommendations'!A:A=A32)"),"What is practical, from the menu, is to make an end-to-end software, [...] But, end-to-end, and the end, which is monitoring.")</f>
        <v>What is practical, from the menu, is to make an end-to-end software, [...] But, end-to-end, and the end, which is monitoring.</v>
      </c>
      <c r="D32" s="10" t="str">
        <f>IFERROR(__xludf.DUMMYFUNCTION("""COMPUTED_VALUE"""),"Make software from start to finish, going through the DevOps steps to the monitoring step.")</f>
        <v>Make software from start to finish, going through the DevOps steps to the monitoring step.</v>
      </c>
      <c r="E32" s="10"/>
      <c r="F32" s="7" t="s">
        <v>8</v>
      </c>
      <c r="G32" s="16"/>
    </row>
    <row r="33">
      <c r="A33" s="41">
        <v>70.0</v>
      </c>
      <c r="B33" s="6" t="s">
        <v>31</v>
      </c>
      <c r="C33" s="10" t="str">
        <f>IFERROR(__xludf.DUMMYFUNCTION("filter('Imported Recommendations'!B:D,'Imported Recommendations'!A:A=A33)"),"Software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D33" s="10" t="str">
        <f>IFERROR(__xludf.DUMMYFUNCTION("""COMPUTED_VALUE"""),"Perform continuous delivery through virtual machines or with Docker.")</f>
        <v>Perform continuous delivery through virtual machines or with Docker.</v>
      </c>
      <c r="E33" s="10"/>
      <c r="F33" s="7" t="s">
        <v>9</v>
      </c>
      <c r="G33" s="16"/>
    </row>
    <row r="34">
      <c r="A34" s="41">
        <v>72.0</v>
      </c>
      <c r="B34" s="6" t="s">
        <v>31</v>
      </c>
      <c r="C34" s="10" t="str">
        <f>IFERROR(__xludf.DUMMYFUNCTION("filter('Imported Recommendations'!B:D,'Imported Recommendations'!A:A=A34)"),"Of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D34" s="10" t="str">
        <f>IFERROR(__xludf.DUMMYFUNCTION("""COMPUTED_VALUE"""),"Use a complete example project from places such as a java discussion forum.")</f>
        <v>Use a complete example project from places such as a java discussion forum.</v>
      </c>
      <c r="E34" s="10"/>
      <c r="F34" s="7" t="s">
        <v>8</v>
      </c>
      <c r="G34" s="16"/>
    </row>
    <row r="35">
      <c r="A35" s="41">
        <v>73.0</v>
      </c>
      <c r="B35" s="6" t="s">
        <v>31</v>
      </c>
      <c r="C35" s="10" t="str">
        <f>IFERROR(__xludf.DUMMYFUNCTION("filter('Imported Recommendations'!B:D,'Imported Recommendations'!A:A=A35)"),"So,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D35" s="10"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E35" s="10"/>
      <c r="F35" s="7" t="s">
        <v>9</v>
      </c>
      <c r="G35" s="16"/>
    </row>
    <row r="36">
      <c r="A36" s="41">
        <v>75.0</v>
      </c>
      <c r="B36" s="6" t="s">
        <v>31</v>
      </c>
      <c r="C36" s="10" t="str">
        <f>IFERROR(__xludf.DUMMYFUNCTION("filter('Imported Recommendations'!B:D,'Imported Recommendations'!A:A=A36)"),"Within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D36" s="10"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E36" s="10" t="str">
        <f>IFERROR(__xludf.DUMMYFUNCTION("""COMPUTED_VALUE"""),"Show the student that there are several ways and tools to do the task.")</f>
        <v>Show the student that there are several ways and tools to do the task.</v>
      </c>
      <c r="F36" s="7" t="s">
        <v>8</v>
      </c>
      <c r="G36" s="16"/>
    </row>
    <row r="37">
      <c r="A37" s="41">
        <v>76.0</v>
      </c>
      <c r="B37" s="6" t="s">
        <v>31</v>
      </c>
      <c r="C37" s="10" t="str">
        <f>IFERROR(__xludf.DUMMYFUNCTION("filter('Imported Recommendations'!B:D,'Imported Recommendations'!A:A=A37)"),"I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D37" s="10"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E37" s="10" t="str">
        <f>IFERROR(__xludf.DUMMYFUNCTION("""COMPUTED_VALUE"""),"The students could build their own system during the course.")</f>
        <v>The students could build their own system during the course.</v>
      </c>
      <c r="F37" s="7" t="s">
        <v>9</v>
      </c>
      <c r="G37" s="16"/>
    </row>
    <row r="38">
      <c r="A38" s="41">
        <v>78.0</v>
      </c>
      <c r="B38" s="6" t="s">
        <v>31</v>
      </c>
      <c r="C38" s="10" t="str">
        <f>IFERROR(__xludf.DUMMYFUNCTION("filter('Imported Recommendations'!B:D,'Imported Recommendations'!A:A=A38)"),"Because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D38" s="10"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E38" s="10" t="str">
        <f>IFERROR(__xludf.DUMMYFUNCTION("""COMPUTED_VALUE"""),"Use various sources of DevOps materials.")</f>
        <v>Use various sources of DevOps materials.</v>
      </c>
      <c r="F38" s="7" t="s">
        <v>9</v>
      </c>
      <c r="G38" s="16"/>
    </row>
    <row r="39">
      <c r="A39" s="41">
        <v>79.0</v>
      </c>
      <c r="B39" s="6" t="s">
        <v>31</v>
      </c>
      <c r="C39" s="10" t="str">
        <f>IFERROR(__xludf.DUMMYFUNCTION("filter('Imported Recommendations'!B:D,'Imported Recommendations'!A:A=A39)"),"This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D39" s="10"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E39" s="10" t="str">
        <f>IFERROR(__xludf.DUMMYFUNCTION("""COMPUTED_VALUE"""),"Deliver a ready-made sample system for students to use.")</f>
        <v>Deliver a ready-made sample system for students to use.</v>
      </c>
      <c r="F39" s="7" t="s">
        <v>8</v>
      </c>
      <c r="G39" s="16"/>
    </row>
    <row r="40">
      <c r="A40" s="41">
        <v>81.0</v>
      </c>
      <c r="B40" s="6" t="s">
        <v>31</v>
      </c>
      <c r="C40" s="10" t="str">
        <f>IFERROR(__xludf.DUMMYFUNCTION("filter('Imported Recommendations'!B:D,'Imported Recommendations'!A:A=A40)"),"You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D40" s="10"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E40" s="10" t="str">
        <f>IFERROR(__xludf.DUMMYFUNCTION("""COMPUTED_VALUE"""),"Teach version control with git feature branch workflow.")</f>
        <v>Teach version control with git feature branch workflow.</v>
      </c>
      <c r="F40" s="7" t="s">
        <v>9</v>
      </c>
      <c r="G40" s="16"/>
    </row>
    <row r="41">
      <c r="A41" s="41">
        <v>82.0</v>
      </c>
      <c r="B41" s="6" t="s">
        <v>31</v>
      </c>
      <c r="C41" s="10" t="str">
        <f>IFERROR(__xludf.DUMMYFUNCTION("filter('Imported Recommendations'!B:D,'Imported Recommendations'!A:A=A41)"),"Something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D41" s="10" t="str">
        <f>IFERROR(__xludf.DUMMYFUNCTION("""COMPUTED_VALUE"""),"Document the consulted material, facilitating future access.")</f>
        <v>Document the consulted material, facilitating future access.</v>
      </c>
      <c r="E41" s="10"/>
      <c r="F41" s="7" t="s">
        <v>8</v>
      </c>
      <c r="G41" s="16"/>
    </row>
    <row r="42">
      <c r="A42" s="41">
        <v>84.0</v>
      </c>
      <c r="B42" s="6" t="s">
        <v>31</v>
      </c>
      <c r="C42" s="10" t="str">
        <f>IFERROR(__xludf.DUMMYFUNCTION("filter('Imported Recommendations'!B:D,'Imported Recommendations'!A:A=A42)"),"Jenkins,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D42" s="10"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E42" s="10"/>
      <c r="F42" s="7" t="s">
        <v>9</v>
      </c>
      <c r="G42" s="16"/>
    </row>
    <row r="43">
      <c r="A43" s="41">
        <v>85.0</v>
      </c>
      <c r="B43" s="6" t="s">
        <v>31</v>
      </c>
      <c r="C43" s="10" t="str">
        <f>IFERROR(__xludf.DUMMYFUNCTION("filter('Imported Recommendations'!B:D,'Imported Recommendations'!A:A=A43)"),"The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D43" s="10" t="str">
        <f>IFERROR(__xludf.DUMMYFUNCTION("""COMPUTED_VALUE"""),"Introduce students to minimal relevant tools and their tradeoffs.
Use few key tools.")</f>
        <v>Introduce students to minimal relevant tools and their tradeoffs.
Use few key tools.</v>
      </c>
      <c r="E43" s="10" t="str">
        <f>IFERROR(__xludf.DUMMYFUNCTION("""COMPUTED_VALUE"""),"Use few key tools.")</f>
        <v>Use few key tools.</v>
      </c>
      <c r="F43" s="7" t="s">
        <v>8</v>
      </c>
      <c r="G43" s="16"/>
    </row>
    <row r="44">
      <c r="A44" s="41">
        <v>87.0</v>
      </c>
      <c r="B44" s="6" t="s">
        <v>31</v>
      </c>
      <c r="C44" s="10" t="str">
        <f>IFERROR(__xludf.DUMMYFUNCTION("filter('Imported Recommendations'!B:D,'Imported Recommendations'!A:A=A44)"),"DevOps [...] In the specialization course [...] you can break all this content into more extensive disciplines.")</f>
        <v>DevOps [...] In the specialization course [...] you can break all this content into more extensive disciplines.</v>
      </c>
      <c r="D44" s="10" t="str">
        <f>IFERROR(__xludf.DUMMYFUNCTION("""COMPUTED_VALUE"""),"It is possible to break the teaching of DevOps into various disciplines in a DevOps specialization course.")</f>
        <v>It is possible to break the teaching of DevOps into various disciplines in a DevOps specialization course.</v>
      </c>
      <c r="E44" s="10"/>
      <c r="F44" s="7" t="s">
        <v>9</v>
      </c>
      <c r="G44" s="16"/>
    </row>
    <row r="45">
      <c r="A45" s="41">
        <v>88.0</v>
      </c>
      <c r="B45" s="6" t="s">
        <v>31</v>
      </c>
      <c r="C45" s="10" t="str">
        <f>IFERROR(__xludf.DUMMYFUNCTION("filter('Imported Recommendations'!B:D,'Imported Recommendations'!A:A=A45)"),"So,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D45" s="10"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E45" s="10" t="str">
        <f>IFERROR(__xludf.DUMMYFUNCTION("""COMPUTED_VALUE"""),"The basics of building, testing, deploying, and monitoring should be present in a DevOps course.")</f>
        <v>The basics of building, testing, deploying, and monitoring should be present in a DevOps course.</v>
      </c>
      <c r="F45" s="7" t="s">
        <v>9</v>
      </c>
      <c r="G45" s="16"/>
    </row>
    <row r="46">
      <c r="A46" s="41">
        <v>90.0</v>
      </c>
      <c r="B46" s="6" t="s">
        <v>31</v>
      </c>
      <c r="C46" s="10" t="str">
        <f>IFERROR(__xludf.DUMMYFUNCTION("filter('Imported Recommendations'!B:D,'Imported Recommendations'!A:A=A46)"),"Training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D46" s="10" t="str">
        <f>IFERROR(__xludf.DUMMYFUNCTION("""COMPUTED_VALUE"""),"It is necessary to choose which topics and tools are essential as the course time is limited.")</f>
        <v>It is necessary to choose which topics and tools are essential as the course time is limited.</v>
      </c>
      <c r="E46" s="10"/>
      <c r="F46" s="7" t="s">
        <v>8</v>
      </c>
      <c r="G46" s="16"/>
    </row>
    <row r="47">
      <c r="A47" s="41">
        <v>91.0</v>
      </c>
      <c r="B47" s="6" t="s">
        <v>31</v>
      </c>
      <c r="C47" s="10" t="str">
        <f>IFERROR(__xludf.DUMMYFUNCTION("filter('Imported Recommendations'!B:D,'Imported Recommendations'!A:A=A47)"),"the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D47" s="10"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E47" s="10" t="str">
        <f>IFERROR(__xludf.DUMMYFUNCTION("""COMPUTED_VALUE"""),"Use relevant industry tools.")</f>
        <v>Use relevant industry tools.</v>
      </c>
      <c r="F47" s="7" t="s">
        <v>8</v>
      </c>
      <c r="G47" s="16"/>
    </row>
    <row r="48">
      <c r="A48" s="41">
        <v>93.0</v>
      </c>
      <c r="B48" s="6" t="s">
        <v>31</v>
      </c>
      <c r="C48" s="10" t="str">
        <f>IFERROR(__xludf.DUMMYFUNCTION("filter('Imported Recommendations'!B:D,'Imported Recommendations'!A:A=A48)"),"So, we ended up choosing Java because it is the greatest strength; ours, that was Java.")</f>
        <v>So, we ended up choosing Java because it is the greatest strength; ours, that was Java.</v>
      </c>
      <c r="D48" s="10" t="str">
        <f>IFERROR(__xludf.DUMMYFUNCTION("""COMPUTED_VALUE"""),"Use a programming language that the teacher knows.")</f>
        <v>Use a programming language that the teacher knows.</v>
      </c>
      <c r="E48" s="10"/>
      <c r="F48" s="7" t="s">
        <v>8</v>
      </c>
      <c r="G48" s="16"/>
    </row>
    <row r="49">
      <c r="A49" s="41">
        <v>94.0</v>
      </c>
      <c r="B49" s="6" t="s">
        <v>31</v>
      </c>
      <c r="C49" s="10" t="str">
        <f>IFERROR(__xludf.DUMMYFUNCTION("filter('Imported Recommendations'!B:D,'Imported Recommendations'!A:A=A49)"),"Which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D49" s="10"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E49" s="10" t="str">
        <f>IFERROR(__xludf.DUMMYFUNCTION("""COMPUTED_VALUE"""),"Use the DevOps tools in simplest way.")</f>
        <v>Use the DevOps tools in simplest way.</v>
      </c>
      <c r="F49" s="7" t="s">
        <v>8</v>
      </c>
      <c r="G49" s="16"/>
    </row>
    <row r="50">
      <c r="A50" s="41">
        <v>96.0</v>
      </c>
      <c r="B50" s="6" t="s">
        <v>31</v>
      </c>
      <c r="C50" s="10" t="str">
        <f>IFERROR(__xludf.DUMMYFUNCTION("filter('Imported Recommendations'!B:D,'Imported Recommendations'!A:A=A50)"),"One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D50" s="10"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E50" s="10"/>
      <c r="F50" s="7" t="s">
        <v>9</v>
      </c>
      <c r="G50" s="16"/>
    </row>
    <row r="51">
      <c r="A51" s="41">
        <v>97.0</v>
      </c>
      <c r="B51" s="6" t="s">
        <v>31</v>
      </c>
      <c r="C51" s="10" t="str">
        <f>IFERROR(__xludf.DUMMYFUNCTION("filter('Imported Recommendations'!B:D,'Imported Recommendations'!A:A=A51)"),"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D51" s="10"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E51" s="10" t="str">
        <f>IFERROR(__xludf.DUMMYFUNCTION("""COMPUTED_VALUE"""),"Use Agile approaches in DevOps classes.")</f>
        <v>Use Agile approaches in DevOps classes.</v>
      </c>
      <c r="F51" s="7" t="s">
        <v>9</v>
      </c>
      <c r="G51" s="16"/>
    </row>
    <row r="52">
      <c r="A52" s="41">
        <v>100.0</v>
      </c>
      <c r="B52" s="6" t="s">
        <v>31</v>
      </c>
      <c r="C52" s="10" t="str">
        <f>IFERROR(__xludf.DUMMYFUNCTION("filter('Imported Recommendations'!B:D,'Imported Recommendations'!A:A=A52)"),"Working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D52" s="10"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E52" s="10" t="str">
        <f>IFERROR(__xludf.DUMMYFUNCTION("""COMPUTED_VALUE"""),"Relate devops to site reliability engineering (sre) for students.")</f>
        <v>Relate devops to site reliability engineering (sre) for students.</v>
      </c>
      <c r="F52" s="7" t="s">
        <v>9</v>
      </c>
      <c r="G52" s="16"/>
    </row>
    <row r="53">
      <c r="A53" s="41">
        <v>103.0</v>
      </c>
      <c r="B53" s="6" t="s">
        <v>31</v>
      </c>
      <c r="C53" s="10" t="str">
        <f>IFERROR(__xludf.DUMMYFUNCTION("filter('Imported Recommendations'!B:D,'Imported Recommendations'!A:A=A53)"),"To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D53" s="10" t="str">
        <f>IFERROR(__xludf.DUMMYFUNCTION("""COMPUTED_VALUE"""),"Make use of the Comprehensive Distance Learning (CDL) teaching methodology.")</f>
        <v>Make use of the Comprehensive Distance Learning (CDL) teaching methodology.</v>
      </c>
      <c r="E53" s="10"/>
      <c r="F53" s="7" t="s">
        <v>8</v>
      </c>
      <c r="G53" s="16"/>
    </row>
    <row r="54">
      <c r="A54" s="41">
        <v>105.0</v>
      </c>
      <c r="B54" s="6" t="s">
        <v>31</v>
      </c>
      <c r="C54" s="10" t="str">
        <f>IFERROR(__xludf.DUMMYFUNCTION("filter('Imported Recommendations'!B:D,'Imported Recommendations'!A:A=A54)"),"I usually study the subject to understand and then see the best way to explain that subject.")</f>
        <v>I usually study the subject to understand and then see the best way to explain that subject.</v>
      </c>
      <c r="D54" s="10" t="str">
        <f>IFERROR(__xludf.DUMMYFUNCTION("""COMPUTED_VALUE"""),"Study the subject thoroughly before preparing for classes.")</f>
        <v>Study the subject thoroughly before preparing for classes.</v>
      </c>
      <c r="E54" s="10"/>
      <c r="F54" s="7" t="s">
        <v>8</v>
      </c>
      <c r="G54" s="16"/>
    </row>
    <row r="55">
      <c r="A55" s="41">
        <v>106.0</v>
      </c>
      <c r="B55" s="6" t="s">
        <v>31</v>
      </c>
      <c r="C55" s="10" t="str">
        <f>IFERROR(__xludf.DUMMYFUNCTION("filter('Imported Recommendations'!B:D,'Imported Recommendations'!A:A=A55)"),"You propose the dynamics and have these things move the group because otherwise, it gets so dull.")</f>
        <v>You propose the dynamics and have these things move the group because otherwise, it gets so dull.</v>
      </c>
      <c r="D55" s="10" t="str">
        <f>IFERROR(__xludf.DUMMYFUNCTION("""COMPUTED_VALUE"""),"Use dynamics to inspire the class.")</f>
        <v>Use dynamics to inspire the class.</v>
      </c>
      <c r="E55" s="10"/>
      <c r="F55" s="7" t="s">
        <v>8</v>
      </c>
      <c r="G55" s="16"/>
    </row>
    <row r="56">
      <c r="A56" s="41">
        <v>108.0</v>
      </c>
      <c r="B56" s="6" t="s">
        <v>31</v>
      </c>
      <c r="C56" s="10" t="str">
        <f>IFERROR(__xludf.DUMMYFUNCTION("filter('Imported Recommendations'!B:D,'Imported Recommendations'!A:A=A56)"),"I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D56" s="10"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E56" s="10"/>
      <c r="F56" s="7" t="s">
        <v>9</v>
      </c>
      <c r="G56" s="16"/>
    </row>
    <row r="57">
      <c r="A57" s="41">
        <v>109.0</v>
      </c>
      <c r="B57" s="6" t="s">
        <v>31</v>
      </c>
      <c r="C57" s="10" t="str">
        <f>IFERROR(__xludf.DUMMYFUNCTION("filter('Imported Recommendations'!B:D,'Imported Recommendations'!A:A=A57)"),"Some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D57" s="10"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E57" s="10" t="str">
        <f>IFERROR(__xludf.DUMMYFUNCTION("""COMPUTED_VALUE"""),"Teacher assistants help in the assessment process.")</f>
        <v>Teacher assistants help in the assessment process.</v>
      </c>
      <c r="F57" s="7" t="s">
        <v>8</v>
      </c>
      <c r="G57" s="16"/>
    </row>
    <row r="58">
      <c r="A58" s="41">
        <v>111.0</v>
      </c>
      <c r="B58" s="6" t="s">
        <v>31</v>
      </c>
      <c r="C58" s="10" t="str">
        <f>IFERROR(__xludf.DUMMYFUNCTION("filter('Imported Recommendations'!B:D,'Imported Recommendations'!A:A=A58)"),"I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D58" s="10"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E58" s="10" t="str">
        <f>IFERROR(__xludf.DUMMYFUNCTION("""COMPUTED_VALUE"""),"Use other DevOps courses as a reference.
")</f>
        <v>Use other DevOps courses as a reference.
</v>
      </c>
      <c r="F58" s="7" t="s">
        <v>9</v>
      </c>
      <c r="G58" s="16"/>
    </row>
    <row r="59">
      <c r="A59" s="41">
        <v>112.0</v>
      </c>
      <c r="B59" s="6" t="s">
        <v>31</v>
      </c>
      <c r="C59" s="10" t="str">
        <f>IFERROR(__xludf.DUMMYFUNCTION("filter('Imported Recommendations'!B:D,'Imported Recommendations'!A:A=A59)"),"PBL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D59" s="10"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E59" s="10" t="str">
        <f>IFERROR(__xludf.DUMMYFUNCTION("""COMPUTED_VALUE"""),"Problem-Based Learning (PBL) is great for teaching DevOps.")</f>
        <v>Problem-Based Learning (PBL) is great for teaching DevOps.</v>
      </c>
      <c r="F59" s="7" t="s">
        <v>9</v>
      </c>
      <c r="G59" s="16"/>
    </row>
    <row r="60">
      <c r="A60" s="32">
        <v>114.0</v>
      </c>
      <c r="B60" s="33" t="s">
        <v>31</v>
      </c>
      <c r="C60" s="10" t="str">
        <f>IFERROR(__xludf.DUMMYFUNCTION("filter('Imported Recommendations'!B:D,'Imported Recommendations'!A:A=A60)"),"I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D60" s="34"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E60" s="34" t="str">
        <f>IFERROR(__xludf.DUMMYFUNCTION("""COMPUTED_VALUE"""),"Organize the students into teams.")</f>
        <v>Organize the students into teams.</v>
      </c>
      <c r="F60" s="7" t="s">
        <v>8</v>
      </c>
      <c r="G60" s="16"/>
    </row>
    <row r="61">
      <c r="A61" s="32">
        <v>116.0</v>
      </c>
      <c r="B61" s="33" t="s">
        <v>31</v>
      </c>
      <c r="C61" s="10" t="str">
        <f>IFERROR(__xludf.DUMMYFUNCTION("filter('Imported Recommendations'!B:D,'Imported Recommendations'!A:A=A61)"),"Those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D61" s="34"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E61" s="34" t="str">
        <f>IFERROR(__xludf.DUMMYFUNCTION("""COMPUTED_VALUE"""),"Teach just enough of DevOps tools to get the students going so they can learn in the right context. ")</f>
        <v>Teach just enough of DevOps tools to get the students going so they can learn in the right context. </v>
      </c>
      <c r="F61" s="7" t="s">
        <v>8</v>
      </c>
      <c r="G61" s="16"/>
    </row>
    <row r="62">
      <c r="A62" s="32">
        <v>117.0</v>
      </c>
      <c r="B62" s="36" t="s">
        <v>31</v>
      </c>
      <c r="C62" s="10" t="str">
        <f>IFERROR(__xludf.DUMMYFUNCTION("filter('Imported Recommendations'!B:D,'Imported Recommendations'!A:A=A62)"),"I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D62" s="34"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E62" s="34" t="str">
        <f>IFERROR(__xludf.DUMMYFUNCTION("""COMPUTED_VALUE"""),"Provide fast feedback to the students.")</f>
        <v>Provide fast feedback to the students.</v>
      </c>
      <c r="F62" s="7" t="s">
        <v>8</v>
      </c>
      <c r="G62" s="16"/>
    </row>
    <row r="63">
      <c r="A63" s="32">
        <v>119.0</v>
      </c>
      <c r="B63" s="36" t="s">
        <v>31</v>
      </c>
      <c r="C63" s="10" t="str">
        <f>IFERROR(__xludf.DUMMYFUNCTION("filter('Imported Recommendations'!B:D,'Imported Recommendations'!A:A=A63)"),"I'll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D63" s="34"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E63" s="34"/>
      <c r="F63" s="7" t="s">
        <v>9</v>
      </c>
      <c r="G63" s="16"/>
    </row>
    <row r="64">
      <c r="A64" s="32">
        <v>120.0</v>
      </c>
      <c r="B64" s="33" t="s">
        <v>31</v>
      </c>
      <c r="C64" s="10" t="str">
        <f>IFERROR(__xludf.DUMMYFUNCTION("filter('Imported Recommendations'!B:D,'Imported Recommendations'!A:A=A64)"),"So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D64" s="34"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E64" s="34" t="str">
        <f>IFERROR(__xludf.DUMMYFUNCTION("""COMPUTED_VALUE"""),"Make the group motivation a responsibility of themselves.")</f>
        <v>Make the group motivation a responsibility of themselves.</v>
      </c>
      <c r="F64" s="7" t="s">
        <v>8</v>
      </c>
      <c r="G64" s="16"/>
    </row>
    <row r="65">
      <c r="A65" s="32">
        <v>122.0</v>
      </c>
      <c r="B65" s="33" t="s">
        <v>31</v>
      </c>
      <c r="C65" s="10" t="str">
        <f>IFERROR(__xludf.DUMMYFUNCTION("filter('Imported Recommendations'!B:D,'Imported Recommendations'!A:A=A65)"),"so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D65" s="34" t="str">
        <f>IFERROR(__xludf.DUMMYFUNCTION("""COMPUTED_VALUE"""),"Use Linux operational system.")</f>
        <v>Use Linux operational system.</v>
      </c>
      <c r="E65" s="34"/>
      <c r="F65" s="7" t="s">
        <v>8</v>
      </c>
      <c r="G65" s="16"/>
    </row>
    <row r="66">
      <c r="A66" s="32">
        <v>123.0</v>
      </c>
      <c r="B66" s="36" t="s">
        <v>31</v>
      </c>
      <c r="C66" s="10" t="str">
        <f>IFERROR(__xludf.DUMMYFUNCTION("filter('Imported Recommendations'!B:D,'Imported Recommendations'!A:A=A66)"),"We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D66" s="37"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E66" s="42" t="str">
        <f>IFERROR(__xludf.DUMMYFUNCTION("""COMPUTED_VALUE"""),"Vagrant and VirtualBox tools are free and useful to create consistent development environment between students.")</f>
        <v>Vagrant and VirtualBox tools are free and useful to create consistent development environment between students.</v>
      </c>
      <c r="F66" s="7" t="s">
        <v>8</v>
      </c>
      <c r="G66" s="16"/>
    </row>
    <row r="67">
      <c r="A67" s="32">
        <v>125.0</v>
      </c>
      <c r="B67" s="33" t="s">
        <v>31</v>
      </c>
      <c r="C67" s="10" t="str">
        <f>IFERROR(__xludf.DUMMYFUNCTION("filter('Imported Recommendations'!B:D,'Imported Recommendations'!A:A=A67)"),"We use selenium to, to work on the, uh, on the UI, as a browser.
We use Selenium for test automation.")</f>
        <v>We use selenium to, to work on the, uh, on the UI, as a browser.
We use Selenium for test automation.</v>
      </c>
      <c r="D67" s="34" t="str">
        <f>IFERROR(__xludf.DUMMYFUNCTION("""COMPUTED_VALUE"""),"Use Selenium to automate UI tests.
Use Selenium for test automation.")</f>
        <v>Use Selenium to automate UI tests.
Use Selenium for test automation.</v>
      </c>
      <c r="E67" s="34" t="str">
        <f>IFERROR(__xludf.DUMMYFUNCTION("""COMPUTED_VALUE"""),"Use Selenium for UI test automation.")</f>
        <v>Use Selenium for UI test automation.</v>
      </c>
      <c r="F67" s="7" t="s">
        <v>8</v>
      </c>
      <c r="G67" s="16"/>
    </row>
    <row r="68">
      <c r="A68" s="32">
        <v>126.0</v>
      </c>
      <c r="B68" s="33" t="s">
        <v>31</v>
      </c>
      <c r="C68" s="10" t="str">
        <f>IFERROR(__xludf.DUMMYFUNCTION("filter('Imported Recommendations'!B:D,'Imported Recommendations'!A:A=A68)"),"Students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D68" s="37"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E68" s="37" t="str">
        <f>IFERROR(__xludf.DUMMYFUNCTION("""COMPUTED_VALUE"""),"Do not force the technology stack used by students in their systems.")</f>
        <v>Do not force the technology stack used by students in their systems.</v>
      </c>
      <c r="F68" s="7" t="s">
        <v>8</v>
      </c>
      <c r="G68" s="16"/>
    </row>
    <row r="69">
      <c r="A69" s="32">
        <v>128.0</v>
      </c>
      <c r="B69" s="33" t="s">
        <v>31</v>
      </c>
      <c r="C69" s="10" t="str">
        <f>IFERROR(__xludf.DUMMYFUNCTION("filter('Imported Recommendations'!B:D,'Imported Recommendations'!A:A=A69)"),"I'm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D69" s="34"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E69" s="34" t="str">
        <f>IFERROR(__xludf.DUMMYFUNCTION("""COMPUTED_VALUE"""),"Teach Kanban board.")</f>
        <v>Teach Kanban board.</v>
      </c>
      <c r="F69" s="7" t="s">
        <v>9</v>
      </c>
      <c r="G69" s="16"/>
    </row>
    <row r="70">
      <c r="A70" s="32">
        <v>129.0</v>
      </c>
      <c r="B70" s="33" t="s">
        <v>31</v>
      </c>
      <c r="C70" s="10" t="str">
        <f>IFERROR(__xludf.DUMMYFUNCTION("filter('Imported Recommendations'!B:D,'Imported Recommendations'!A:A=A70)"),"I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D70" s="34"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E70" s="34"/>
      <c r="F70" s="7" t="s">
        <v>8</v>
      </c>
      <c r="G70" s="16"/>
    </row>
    <row r="71">
      <c r="A71" s="32">
        <v>131.0</v>
      </c>
      <c r="B71" s="33" t="s">
        <v>31</v>
      </c>
      <c r="C71" s="10" t="str">
        <f>IFERROR(__xludf.DUMMYFUNCTION("filter('Imported Recommendations'!B:D,'Imported Recommendations'!A:A=A71)"),"Then I give them two exams. So the team is 40% of their grade. The exams are 60% a midterm that's 30 and a, and a final that's 30.")</f>
        <v>Then I give them two exams. So the team is 40% of their grade. The exams are 60% a midterm that's 30 and a, and a final that's 30.</v>
      </c>
      <c r="D71" s="34" t="str">
        <f>IFERROR(__xludf.DUMMYFUNCTION("""COMPUTED_VALUE"""),"So the team is 40% of their grade. The exams are 60% a midterm that's 30 and a, and a final that's 30.")</f>
        <v>So the team is 40% of their grade. The exams are 60% a midterm that's 30 and a, and a final that's 30.</v>
      </c>
      <c r="E71" s="34"/>
      <c r="F71" s="7" t="s">
        <v>8</v>
      </c>
      <c r="G71" s="16"/>
    </row>
    <row r="72">
      <c r="A72" s="32">
        <v>132.0</v>
      </c>
      <c r="B72" s="33" t="s">
        <v>31</v>
      </c>
      <c r="C72" s="10" t="str">
        <f>IFERROR(__xludf.DUMMYFUNCTION("filter('Imported Recommendations'!B:D,'Imported Recommendations'!A:A=A72)"),"I try to get the student more engaged.... If they're not having fun, then we're, we're doing it wrong. So, so I'm making sure they're having fun.")</f>
        <v>I try to get the student more engaged.... If they're not having fun, then we're, we're doing it wrong. So, so I'm making sure they're having fun.</v>
      </c>
      <c r="D72" s="34" t="str">
        <f>IFERROR(__xludf.DUMMYFUNCTION("""COMPUTED_VALUE"""),"Try to get the student having fun in order to keep them engaged.")</f>
        <v>Try to get the student having fun in order to keep them engaged.</v>
      </c>
      <c r="E72" s="34"/>
      <c r="F72" s="7" t="s">
        <v>8</v>
      </c>
      <c r="G72" s="16"/>
    </row>
    <row r="73">
      <c r="A73" s="32">
        <v>134.0</v>
      </c>
      <c r="B73" s="33" t="s">
        <v>31</v>
      </c>
      <c r="C73" s="10" t="str">
        <f>IFERROR(__xludf.DUMMYFUNCTION("filter('Imported Recommendations'!B:D,'Imported Recommendations'!A:A=A73)"),"the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D73" s="34" t="str">
        <f>IFERROR(__xludf.DUMMYFUNCTION("""COMPUTED_VALUE"""),"Exams in remote class format are with the open book.")</f>
        <v>Exams in remote class format are with the open book.</v>
      </c>
      <c r="E73" s="34"/>
      <c r="F73" s="7" t="s">
        <v>8</v>
      </c>
      <c r="G73" s="16"/>
    </row>
    <row r="74">
      <c r="A74" s="32">
        <v>137.0</v>
      </c>
      <c r="B74" s="33" t="s">
        <v>31</v>
      </c>
      <c r="C74" s="10" t="str">
        <f>IFERROR(__xludf.DUMMYFUNCTION("filter('Imported Recommendations'!B:D,'Imported Recommendations'!A:A=A74)"),"People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D74" s="34"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E74" s="34" t="str">
        <f>IFERROR(__xludf.DUMMYFUNCTION("""COMPUTED_VALUE"""),"Continuous improvement is a key DevOps concept.")</f>
        <v>Continuous improvement is a key DevOps concept.</v>
      </c>
      <c r="F74" s="7" t="s">
        <v>9</v>
      </c>
      <c r="G74" s="16"/>
    </row>
    <row r="75">
      <c r="A75" s="32">
        <v>138.0</v>
      </c>
      <c r="B75" s="36" t="s">
        <v>31</v>
      </c>
      <c r="C75" s="10" t="str">
        <f>IFERROR(__xludf.DUMMYFUNCTION("filter('Imported Recommendations'!B:D,'Imported Recommendations'!A:A=A75)"),"I'm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D75" s="34" t="str">
        <f>IFERROR(__xludf.DUMMYFUNCTION("""COMPUTED_VALUE"""),"Use imagens that contain everything that the teacher wants to teach to clone virtual machines.")</f>
        <v>Use imagens that contain everything that the teacher wants to teach to clone virtual machines.</v>
      </c>
      <c r="E75" s="34"/>
      <c r="F75" s="7" t="s">
        <v>8</v>
      </c>
      <c r="G75" s="16"/>
    </row>
    <row r="76">
      <c r="A76" s="32">
        <v>140.0</v>
      </c>
      <c r="B76" s="36" t="s">
        <v>31</v>
      </c>
      <c r="C76" s="10" t="str">
        <f>IFERROR(__xludf.DUMMYFUNCTION("filter('Imported Recommendations'!B:D,'Imported Recommendations'!A:A=A76)"),"I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D76" s="34" t="str">
        <f>IFERROR(__xludf.DUMMYFUNCTION("""COMPUTED_VALUE"""),"Compare and contrast the tools before to choice.")</f>
        <v>Compare and contrast the tools before to choice.</v>
      </c>
      <c r="E76" s="34"/>
      <c r="F76" s="7" t="s">
        <v>8</v>
      </c>
      <c r="G76" s="16"/>
    </row>
    <row r="77">
      <c r="A77" s="32">
        <v>141.0</v>
      </c>
      <c r="B77" s="33" t="s">
        <v>31</v>
      </c>
      <c r="C77" s="10" t="str">
        <f>IFERROR(__xludf.DUMMYFUNCTION("filter('Imported Recommendations'!B:D,'Imported Recommendations'!A:A=A77)"),"I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D77" s="34" t="str">
        <f>IFERROR(__xludf.DUMMYFUNCTION("""COMPUTED_VALUE"""),"Use cloud SAS providers to avoid spending a lot of time installations and configurations.")</f>
        <v>Use cloud SAS providers to avoid spending a lot of time installations and configurations.</v>
      </c>
      <c r="E77" s="34"/>
      <c r="F77" s="7" t="s">
        <v>8</v>
      </c>
      <c r="G77" s="16"/>
    </row>
    <row r="78">
      <c r="A78" s="32">
        <v>143.0</v>
      </c>
      <c r="B78" s="33" t="s">
        <v>31</v>
      </c>
      <c r="C78" s="10" t="str">
        <f>IFERROR(__xludf.DUMMYFUNCTION("filter('Imported Recommendations'!B:D,'Imported Recommendations'!A:A=A78)"),"I'm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D78" s="34" t="str">
        <f>IFERROR(__xludf.DUMMYFUNCTION("""COMPUTED_VALUE"""),"separate the dev and ops part into different courses.")</f>
        <v>separate the dev and ops part into different courses.</v>
      </c>
      <c r="E78" s="34"/>
      <c r="F78" s="7" t="s">
        <v>9</v>
      </c>
      <c r="G78" s="16"/>
    </row>
    <row r="79">
      <c r="A79" s="32">
        <v>144.0</v>
      </c>
      <c r="B79" s="33" t="s">
        <v>31</v>
      </c>
      <c r="C79" s="10" t="str">
        <f>IFERROR(__xludf.DUMMYFUNCTION("filter('Imported Recommendations'!B:D,'Imported Recommendations'!A:A=A79)"),"And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D79" s="34"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E79" s="34"/>
      <c r="F79" s="7" t="s">
        <v>9</v>
      </c>
      <c r="G79" s="16"/>
    </row>
    <row r="80">
      <c r="A80" s="32">
        <v>146.0</v>
      </c>
      <c r="B80" s="33" t="s">
        <v>31</v>
      </c>
      <c r="C80" s="10" t="str">
        <f>IFERROR(__xludf.DUMMYFUNCTION("filter('Imported Recommendations'!B:D,'Imported Recommendations'!A:A=A80)"),"So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D80" s="34"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E80" s="34" t="str">
        <f>IFERROR(__xludf.DUMMYFUNCTION("""COMPUTED_VALUE"""),"Research small projects for the students.")</f>
        <v>Research small projects for the students.</v>
      </c>
      <c r="F80" s="7" t="s">
        <v>8</v>
      </c>
      <c r="G80" s="16"/>
    </row>
    <row r="81">
      <c r="A81" s="32">
        <v>147.0</v>
      </c>
      <c r="B81" s="36" t="s">
        <v>31</v>
      </c>
      <c r="C81" s="10" t="str">
        <f>IFERROR(__xludf.DUMMYFUNCTION("filter('Imported Recommendations'!B:D,'Imported Recommendations'!A:A=A81)"),"I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D81" s="34" t="str">
        <f>IFERROR(__xludf.DUMMYFUNCTION("""COMPUTED_VALUE"""),"Provide jump-starting examples of commonly used commands of tools.")</f>
        <v>Provide jump-starting examples of commonly used commands of tools.</v>
      </c>
      <c r="E81" s="34"/>
      <c r="F81" s="7" t="s">
        <v>8</v>
      </c>
      <c r="G81" s="16"/>
    </row>
    <row r="82">
      <c r="A82" s="32">
        <v>149.0</v>
      </c>
      <c r="B82" s="33" t="s">
        <v>31</v>
      </c>
      <c r="C82" s="10" t="str">
        <f>IFERROR(__xludf.DUMMYFUNCTION("filter('Imported Recommendations'!B:D,'Imported Recommendations'!A:A=A82)"),"Our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D82" s="34" t="str">
        <f>IFERROR(__xludf.DUMMYFUNCTION("""COMPUTED_VALUE"""),"Our curriculum allows some degree of freedom according to the teacher's preferences.")</f>
        <v>Our curriculum allows some degree of freedom according to the teacher's preferences.</v>
      </c>
      <c r="E82" s="34"/>
      <c r="F82" s="7" t="s">
        <v>8</v>
      </c>
      <c r="G82" s="16"/>
    </row>
    <row r="83">
      <c r="A83" s="32">
        <v>150.0</v>
      </c>
      <c r="B83" s="33" t="s">
        <v>31</v>
      </c>
      <c r="C83" s="10" t="str">
        <f>IFERROR(__xludf.DUMMYFUNCTION("filter('Imported Recommendations'!B:D,'Imported Recommendations'!A:A=A83)"),"We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D83" s="34"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E83" s="34"/>
      <c r="F83" s="7" t="s">
        <v>9</v>
      </c>
      <c r="G83" s="16"/>
    </row>
    <row r="84">
      <c r="A84" s="32">
        <v>152.0</v>
      </c>
      <c r="B84" s="33" t="s">
        <v>31</v>
      </c>
      <c r="C84" s="10" t="str">
        <f>IFERROR(__xludf.DUMMYFUNCTION("filter('Imported Recommendations'!B:D,'Imported Recommendations'!A:A=A84)"),"And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D84" s="34" t="str">
        <f>IFERROR(__xludf.DUMMYFUNCTION("""COMPUTED_VALUE"""),"Show the operational constraints to students like coder will not get access to production environment.")</f>
        <v>Show the operational constraints to students like coder will not get access to production environment.</v>
      </c>
      <c r="E84" s="34"/>
      <c r="F84" s="7" t="s">
        <v>9</v>
      </c>
      <c r="G84" s="16"/>
    </row>
    <row r="85">
      <c r="A85" s="32">
        <v>153.0</v>
      </c>
      <c r="B85" s="33" t="s">
        <v>31</v>
      </c>
      <c r="C85" s="10" t="str">
        <f>IFERROR(__xludf.DUMMYFUNCTION("filter('Imported Recommendations'!B:D,'Imported Recommendations'!A:A=A85)"),"And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D85" s="34" t="str">
        <f>IFERROR(__xludf.DUMMYFUNCTION("""COMPUTED_VALUE"""),"Study the tools more when you go into the concepts. For example, deep Docker when you teach containers.")</f>
        <v>Study the tools more when you go into the concepts. For example, deep Docker when you teach containers.</v>
      </c>
      <c r="E85" s="34"/>
      <c r="F85" s="7" t="s">
        <v>9</v>
      </c>
      <c r="G85" s="16"/>
    </row>
    <row r="86">
      <c r="A86" s="32">
        <v>155.0</v>
      </c>
      <c r="B86" s="33" t="s">
        <v>31</v>
      </c>
      <c r="C86" s="10" t="str">
        <f>IFERROR(__xludf.DUMMYFUNCTION("filter('Imported Recommendations'!B:D,'Imported Recommendations'!A:A=A86)"),"In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D86" s="34"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86" s="34" t="str">
        <f>IFERROR(__xludf.DUMMYFUNCTION("""COMPUTED_VALUE"""),"Force students to use technology stack used on course.")</f>
        <v>Force students to use technology stack used on course.</v>
      </c>
      <c r="F86" s="7" t="s">
        <v>8</v>
      </c>
      <c r="G86" s="16"/>
    </row>
    <row r="87">
      <c r="A87" s="32">
        <v>156.0</v>
      </c>
      <c r="B87" s="33" t="s">
        <v>31</v>
      </c>
      <c r="C87" s="10" t="str">
        <f>IFERROR(__xludf.DUMMYFUNCTION("filter('Imported Recommendations'!B:D,'Imported Recommendations'!A:A=A87)"),"Go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D87" s="34" t="str">
        <f>IFERROR(__xludf.DUMMYFUNCTION("""COMPUTED_VALUE"""),"Build whiteboard free sessions inspired by what students have failed and the two hours exercise.")</f>
        <v>Build whiteboard free sessions inspired by what students have failed and the two hours exercise.</v>
      </c>
      <c r="E87" s="34"/>
      <c r="F87" s="7" t="s">
        <v>8</v>
      </c>
      <c r="G87" s="16"/>
    </row>
    <row r="88">
      <c r="A88" s="32">
        <v>158.0</v>
      </c>
      <c r="B88" s="33" t="s">
        <v>31</v>
      </c>
      <c r="C88" s="10" t="str">
        <f>IFERROR(__xludf.DUMMYFUNCTION("filter('Imported Recommendations'!B:D,'Imported Recommendations'!A:A=A88)"),"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D88" s="37"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E88" s="34"/>
      <c r="F88" s="7" t="s">
        <v>8</v>
      </c>
      <c r="G88" s="16"/>
    </row>
    <row r="89">
      <c r="A89" s="32">
        <v>159.0</v>
      </c>
      <c r="B89" s="33" t="s">
        <v>31</v>
      </c>
      <c r="C89" s="10" t="str">
        <f>IFERROR(__xludf.DUMMYFUNCTION("filter('Imported Recommendations'!B:D,'Imported Recommendations'!A:A=A89)"),"we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D89" s="34"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E89" s="34"/>
      <c r="F89" s="7" t="s">
        <v>8</v>
      </c>
      <c r="G89" s="16"/>
    </row>
    <row r="90">
      <c r="A90" s="32">
        <v>161.0</v>
      </c>
      <c r="B90" s="33" t="s">
        <v>31</v>
      </c>
      <c r="C90" s="10" t="str">
        <f>IFERROR(__xludf.DUMMYFUNCTION("filter('Imported Recommendations'!B:D,'Imported Recommendations'!A:A=A90)"),"We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90" s="34"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E90" s="34" t="str">
        <f>IFERROR(__xludf.DUMMYFUNCTION("""COMPUTED_VALUE"""),"Kubernetes can be chosen as DevOps tool.")</f>
        <v>Kubernetes can be chosen as DevOps tool.</v>
      </c>
      <c r="F90" s="7" t="s">
        <v>9</v>
      </c>
      <c r="G90" s="16"/>
    </row>
    <row r="91">
      <c r="A91" s="32">
        <v>162.0</v>
      </c>
      <c r="B91" s="33" t="s">
        <v>31</v>
      </c>
      <c r="C91" s="10" t="str">
        <f>IFERROR(__xludf.DUMMYFUNCTION("filter('Imported Recommendations'!B:D,'Imported Recommendations'!A:A=A91)"),"I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D91" s="34"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E91" s="34"/>
      <c r="F91" s="7" t="s">
        <v>9</v>
      </c>
      <c r="G91" s="16"/>
    </row>
    <row r="92">
      <c r="A92" s="32">
        <v>164.0</v>
      </c>
      <c r="B92" s="33" t="s">
        <v>31</v>
      </c>
      <c r="C92" s="10" t="str">
        <f>IFERROR(__xludf.DUMMYFUNCTION("filter('Imported Recommendations'!B:D,'Imported Recommendations'!A:A=A92)"),"The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D92" s="34"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E92" s="34" t="str">
        <f>IFERROR(__xludf.DUMMYFUNCTION("""COMPUTED_VALUE"""),"Students setting up their own DevOps environment.")</f>
        <v>Students setting up their own DevOps environment.</v>
      </c>
      <c r="F92" s="7" t="s">
        <v>9</v>
      </c>
      <c r="G92" s="16"/>
    </row>
    <row r="93">
      <c r="A93" s="32">
        <v>165.0</v>
      </c>
      <c r="B93" s="33" t="s">
        <v>31</v>
      </c>
      <c r="C93" s="10" t="str">
        <f>IFERROR(__xludf.DUMMYFUNCTION("filter('Imported Recommendations'!B:D,'Imported Recommendations'!A:A=A93)"),"Also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D93" s="34" t="str">
        <f>IFERROR(__xludf.DUMMYFUNCTION("""COMPUTED_VALUE"""),"The project of the class should not be very small and must be challenging.")</f>
        <v>The project of the class should not be very small and must be challenging.</v>
      </c>
      <c r="E93" s="34"/>
      <c r="F93" s="7" t="s">
        <v>8</v>
      </c>
      <c r="G93" s="16"/>
    </row>
    <row r="94">
      <c r="A94" s="32">
        <v>167.0</v>
      </c>
      <c r="B94" s="33" t="s">
        <v>31</v>
      </c>
      <c r="C94" s="10" t="str">
        <f>IFERROR(__xludf.DUMMYFUNCTION("filter('Imported Recommendations'!B:D,'Imported Recommendations'!A:A=A94)"),"we use also SonarQube to help us on the automation")</f>
        <v>we use also SonarQube to help us on the automation</v>
      </c>
      <c r="D94" s="34" t="str">
        <f>IFERROR(__xludf.DUMMYFUNCTION("""COMPUTED_VALUE"""),"Use SonarQube to help on the automation.")</f>
        <v>Use SonarQube to help on the automation.</v>
      </c>
      <c r="E94" s="34"/>
      <c r="F94" s="7" t="s">
        <v>9</v>
      </c>
      <c r="G94" s="16"/>
    </row>
    <row r="95">
      <c r="A95" s="32">
        <v>168.0</v>
      </c>
      <c r="B95" s="33" t="s">
        <v>31</v>
      </c>
      <c r="C95" s="10" t="str">
        <f>IFERROR(__xludf.DUMMYFUNCTION("filter('Imported Recommendations'!B:D,'Imported Recommendations'!A:A=A95)"),"for performance testing we use JMeter")</f>
        <v>for performance testing we use JMeter</v>
      </c>
      <c r="D95" s="34" t="str">
        <f>IFERROR(__xludf.DUMMYFUNCTION("""COMPUTED_VALUE"""),"Use JMeter for performance testing.")</f>
        <v>Use JMeter for performance testing.</v>
      </c>
      <c r="E95" s="34"/>
      <c r="F95" s="7" t="s">
        <v>9</v>
      </c>
      <c r="G95" s="16"/>
    </row>
    <row r="96">
      <c r="A96" s="32">
        <v>170.0</v>
      </c>
      <c r="B96" s="33" t="s">
        <v>31</v>
      </c>
      <c r="C96" s="10" t="str">
        <f>IFERROR(__xludf.DUMMYFUNCTION("filter('Imported Recommendations'!B:D,'Imported Recommendations'!A:A=A96)"),"So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D96" s="34" t="str">
        <f>IFERROR(__xludf.DUMMYFUNCTION("""COMPUTED_VALUE"""),"There are many free DevOps tools available.")</f>
        <v>There are many free DevOps tools available.</v>
      </c>
      <c r="E96" s="34"/>
      <c r="F96" s="7" t="s">
        <v>9</v>
      </c>
      <c r="G96" s="16"/>
    </row>
    <row r="97">
      <c r="A97" s="32">
        <v>171.0</v>
      </c>
      <c r="B97" s="33" t="s">
        <v>31</v>
      </c>
      <c r="C97" s="10" t="str">
        <f>IFERROR(__xludf.DUMMYFUNCTION("filter('Imported Recommendations'!B:D,'Imported Recommendations'!A:A=A97)"),"Quite often, what we do is have someone in our team to implement the application.")</f>
        <v>Quite often, what we do is have someone in our team to implement the application.</v>
      </c>
      <c r="D97" s="34" t="str">
        <f>IFERROR(__xludf.DUMMYFUNCTION("""COMPUTED_VALUE"""),"Someone from teacher staff implements the sample application.")</f>
        <v>Someone from teacher staff implements the sample application.</v>
      </c>
      <c r="E97" s="34"/>
      <c r="F97" s="7" t="s">
        <v>8</v>
      </c>
      <c r="G97" s="16"/>
    </row>
    <row r="98">
      <c r="A98" s="32">
        <v>173.0</v>
      </c>
      <c r="B98" s="33" t="s">
        <v>31</v>
      </c>
      <c r="C98" s="10" t="str">
        <f>IFERROR(__xludf.DUMMYFUNCTION("filter('Imported Recommendations'!B:D,'Imported Recommendations'!A:A=A98)"),"We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D98" s="34"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E98" s="34"/>
      <c r="F98" s="7" t="s">
        <v>9</v>
      </c>
      <c r="G98" s="16"/>
    </row>
    <row r="99">
      <c r="A99" s="32">
        <v>176.0</v>
      </c>
      <c r="B99" s="33" t="s">
        <v>31</v>
      </c>
      <c r="C99" s="10" t="str">
        <f>IFERROR(__xludf.DUMMYFUNCTION("filter('Imported Recommendations'!B:D,'Imported Recommendations'!A:A=A99)"),"the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D99" s="34" t="str">
        <f>IFERROR(__xludf.DUMMYFUNCTION("""COMPUTED_VALUE"""),"The Unicorn project book is a novel which covers the Dev side issues of DevOps.")</f>
        <v>The Unicorn project book is a novel which covers the Dev side issues of DevOps.</v>
      </c>
      <c r="E99" s="34"/>
      <c r="F99" s="7" t="s">
        <v>9</v>
      </c>
      <c r="G99" s="16"/>
    </row>
    <row r="100">
      <c r="A100" s="32">
        <v>177.0</v>
      </c>
      <c r="B100" s="33" t="s">
        <v>31</v>
      </c>
      <c r="C100" s="10" t="str">
        <f>IFERROR(__xludf.DUMMYFUNCTION("filter('Imported Recommendations'!B:D,'Imported Recommendations'!A:A=A100)"),"The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D100" s="34" t="str">
        <f>IFERROR(__xludf.DUMMYFUNCTION("""COMPUTED_VALUE"""),"The Phoenix book by Jean Kim is a novel that covers the Ops side of DevOps.")</f>
        <v>The Phoenix book by Jean Kim is a novel that covers the Ops side of DevOps.</v>
      </c>
      <c r="E100" s="34"/>
      <c r="F100" s="7" t="s">
        <v>9</v>
      </c>
      <c r="G100" s="16"/>
    </row>
    <row r="101">
      <c r="A101" s="32">
        <v>179.0</v>
      </c>
      <c r="B101" s="33" t="s">
        <v>31</v>
      </c>
      <c r="C101" s="10" t="str">
        <f>IFERROR(__xludf.DUMMYFUNCTION("filter('Imported Recommendations'!B:D,'Imported Recommendations'!A:A=A101)"),"So I chose, um, tuleap, which is an open source that was missing in mainly DevOps in France.")</f>
        <v>So I chose, um, tuleap, which is an open source that was missing in mainly DevOps in France.</v>
      </c>
      <c r="D101" s="34" t="str">
        <f>IFERROR(__xludf.DUMMYFUNCTION("""COMPUTED_VALUE"""),"Use Tuleap for lifecycle management.")</f>
        <v>Use Tuleap for lifecycle management.</v>
      </c>
      <c r="E101" s="34"/>
      <c r="F101" s="7" t="s">
        <v>9</v>
      </c>
      <c r="G101" s="16"/>
    </row>
    <row r="102">
      <c r="A102" s="32">
        <v>180.0</v>
      </c>
      <c r="B102" s="33" t="s">
        <v>31</v>
      </c>
      <c r="C102" s="10" t="str">
        <f>IFERROR(__xludf.DUMMYFUNCTION("filter('Imported Recommendations'!B:D,'Imported Recommendations'!A:A=A102)"),"We try to make it minimal")</f>
        <v>We try to make it minimal</v>
      </c>
      <c r="D102" s="34" t="str">
        <f>IFERROR(__xludf.DUMMYFUNCTION("""COMPUTED_VALUE"""),"Try to make the environment setup minimal.")</f>
        <v>Try to make the environment setup minimal.</v>
      </c>
      <c r="E102" s="34"/>
      <c r="F102" s="7" t="s">
        <v>8</v>
      </c>
      <c r="G102" s="16"/>
    </row>
    <row r="103">
      <c r="A103" s="32">
        <v>183.0</v>
      </c>
      <c r="B103" s="33" t="s">
        <v>31</v>
      </c>
      <c r="C103" s="10" t="str">
        <f>IFERROR(__xludf.DUMMYFUNCTION("filter('Imported Recommendations'!B:D,'Imported Recommendations'!A:A=A103)"),"First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D103" s="34"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E103" s="43" t="str">
        <f>IFERROR(__xludf.DUMMYFUNCTION("""COMPUTED_VALUE"""),"Explain the course objectives to the students.")</f>
        <v>Explain the course objectives to the students.</v>
      </c>
      <c r="F103" s="7" t="s">
        <v>8</v>
      </c>
      <c r="G103" s="16"/>
    </row>
    <row r="104">
      <c r="A104" s="32">
        <v>185.0</v>
      </c>
      <c r="B104" s="33" t="s">
        <v>31</v>
      </c>
      <c r="C104" s="10" t="str">
        <f>IFERROR(__xludf.DUMMYFUNCTION("filter('Imported Recommendations'!B:D,'Imported Recommendations'!A:A=A104)"),"we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D104" s="34"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E104" s="34"/>
      <c r="F104" s="7" t="s">
        <v>9</v>
      </c>
      <c r="G104" s="16"/>
    </row>
    <row r="105">
      <c r="A105" s="32">
        <v>186.0</v>
      </c>
      <c r="B105" s="33" t="s">
        <v>31</v>
      </c>
      <c r="C105" s="10" t="str">
        <f>IFERROR(__xludf.DUMMYFUNCTION("filter('Imported Recommendations'!B:D,'Imported Recommendations'!A:A=A105)"),"it's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D105" s="34" t="str">
        <f>IFERROR(__xludf.DUMMYFUNCTION("""COMPUTED_VALUE"""),"constantly try to figure out how to improve the quality of the course")</f>
        <v>constantly try to figure out how to improve the quality of the course</v>
      </c>
      <c r="E105" s="34"/>
      <c r="F105" s="7" t="s">
        <v>8</v>
      </c>
      <c r="G105" s="16"/>
    </row>
    <row r="106">
      <c r="A106" s="32">
        <v>188.0</v>
      </c>
      <c r="B106" s="33" t="s">
        <v>31</v>
      </c>
      <c r="C106" s="10" t="str">
        <f>IFERROR(__xludf.DUMMYFUNCTION("filter('Imported Recommendations'!B:D,'Imported Recommendations'!A:A=A106)"),"So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D106" s="34" t="str">
        <f>IFERROR(__xludf.DUMMYFUNCTION("""COMPUTED_VALUE"""),"It's important to communicate with students that DevOps is not buzzword, it is extremely serious.")</f>
        <v>It's important to communicate with students that DevOps is not buzzword, it is extremely serious.</v>
      </c>
      <c r="E106" s="34"/>
      <c r="F106" s="7" t="s">
        <v>9</v>
      </c>
      <c r="G106" s="16"/>
    </row>
    <row r="107">
      <c r="A107" s="32">
        <v>189.0</v>
      </c>
      <c r="B107" s="33" t="s">
        <v>31</v>
      </c>
      <c r="C107" s="10" t="str">
        <f>IFERROR(__xludf.DUMMYFUNCTION("filter('Imported Recommendations'!B:D,'Imported Recommendations'!A:A=A107)"),"Then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D107" s="34"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E107" s="34"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F107" s="7" t="s">
        <v>9</v>
      </c>
      <c r="G107" s="16"/>
    </row>
    <row r="108">
      <c r="A108" s="32">
        <v>191.0</v>
      </c>
      <c r="B108" s="33" t="s">
        <v>31</v>
      </c>
      <c r="C108" s="10" t="str">
        <f>IFERROR(__xludf.DUMMYFUNCTION("filter('Imported Recommendations'!B:D,'Imported Recommendations'!A:A=A108)"),"In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D108" s="34"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E108" s="34"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F108" s="7" t="s">
        <v>9</v>
      </c>
      <c r="G108" s="16"/>
    </row>
    <row r="109">
      <c r="A109" s="32">
        <v>192.0</v>
      </c>
      <c r="B109" s="33" t="s">
        <v>31</v>
      </c>
      <c r="C109" s="10" t="str">
        <f>IFERROR(__xludf.DUMMYFUNCTION("filter('Imported Recommendations'!B:D,'Imported Recommendations'!A:A=A109)"),"And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D109" s="34"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E109" s="34" t="str">
        <f>IFERROR(__xludf.DUMMYFUNCTION("""COMPUTED_VALUE"""),"Make students engage with people from other teams in the classes.")</f>
        <v>Make students engage with people from other teams in the classes.</v>
      </c>
      <c r="F109" s="7" t="s">
        <v>8</v>
      </c>
      <c r="G109" s="16"/>
    </row>
    <row r="110">
      <c r="A110" s="32">
        <v>194.0</v>
      </c>
      <c r="B110" s="33" t="s">
        <v>31</v>
      </c>
      <c r="C110" s="10" t="str">
        <f>IFERROR(__xludf.DUMMYFUNCTION("filter('Imported Recommendations'!B:D,'Imported Recommendations'!A:A=A110)"),"I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D110" s="34" t="str">
        <f>IFERROR(__xludf.DUMMYFUNCTION("""COMPUTED_VALUE"""),"Two months with four hours in each week is enough to students with some background about software engineering.")</f>
        <v>Two months with four hours in each week is enough to students with some background about software engineering.</v>
      </c>
      <c r="E110" s="34"/>
      <c r="F110" s="7" t="s">
        <v>8</v>
      </c>
      <c r="G110" s="16"/>
    </row>
    <row r="111">
      <c r="A111" s="32">
        <v>195.0</v>
      </c>
      <c r="B111" s="33" t="s">
        <v>31</v>
      </c>
      <c r="C111" s="10" t="str">
        <f>IFERROR(__xludf.DUMMYFUNCTION("filter('Imported Recommendations'!B:D,'Imported Recommendations'!A:A=A111)"),"So I had to find one that was dying and, uh, hopefully the colleague who was handling his dying course forgot to answer to an email.")</f>
        <v>So I had to find one that was dying and, uh, hopefully the colleague who was handling his dying course forgot to answer to an email.</v>
      </c>
      <c r="D111" s="34" t="str">
        <f>IFERROR(__xludf.DUMMYFUNCTION("""COMPUTED_VALUE"""),"Look for a dying course to include a DevOps one in the curriculum.")</f>
        <v>Look for a dying course to include a DevOps one in the curriculum.</v>
      </c>
      <c r="E111" s="34"/>
      <c r="F111" s="7" t="s">
        <v>9</v>
      </c>
      <c r="G111" s="16"/>
    </row>
    <row r="112">
      <c r="A112" s="32">
        <v>197.0</v>
      </c>
      <c r="B112" s="33" t="s">
        <v>31</v>
      </c>
      <c r="C112" s="10" t="str">
        <f>IFERROR(__xludf.DUMMYFUNCTION("filter('Imported Recommendations'!B:D,'Imported Recommendations'!A:A=A112)"),"So this guy was really half time IBM and half time in the faculty of engineering.")</f>
        <v>So this guy was really half time IBM and half time in the faculty of engineering.</v>
      </c>
      <c r="D112" s="34" t="str">
        <f>IFERROR(__xludf.DUMMYFUNCTION("""COMPUTED_VALUE"""),"Teachers could be half time industrial and half time faculty.")</f>
        <v>Teachers could be half time industrial and half time faculty.</v>
      </c>
      <c r="E112" s="34"/>
      <c r="F112" s="7" t="s">
        <v>8</v>
      </c>
      <c r="G112" s="16"/>
    </row>
    <row r="113">
      <c r="A113" s="32">
        <v>198.0</v>
      </c>
      <c r="B113" s="33" t="s">
        <v>31</v>
      </c>
      <c r="C113" s="10" t="str">
        <f>IFERROR(__xludf.DUMMYFUNCTION("filter('Imported Recommendations'!B:D,'Imported Recommendations'!A:A=A113)"),"we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D113" s="34" t="str">
        <f>IFERROR(__xludf.DUMMYFUNCTION("""COMPUTED_VALUE"""),"DevOps tools are well integrated in Bluemix platform from IBM.")</f>
        <v>DevOps tools are well integrated in Bluemix platform from IBM.</v>
      </c>
      <c r="E113" s="34"/>
      <c r="F113" s="7" t="s">
        <v>9</v>
      </c>
      <c r="G113" s="16"/>
    </row>
    <row r="114">
      <c r="A114" s="32">
        <v>200.0</v>
      </c>
      <c r="B114" s="33" t="s">
        <v>31</v>
      </c>
      <c r="C114" s="10" t="str">
        <f>IFERROR(__xludf.DUMMYFUNCTION("filter('Imported Recommendations'!B:D,'Imported Recommendations'!A:A=A114)"),"what we've done was first to, um, continuously evaluate the teams are they were working on the project.")</f>
        <v>what we've done was first to, um, continuously evaluate the teams are they were working on the project.</v>
      </c>
      <c r="D114" s="34" t="str">
        <f>IFERROR(__xludf.DUMMYFUNCTION("""COMPUTED_VALUE"""),"Make a continuous evaluation of the projects of the students.")</f>
        <v>Make a continuous evaluation of the projects of the students.</v>
      </c>
      <c r="E114" s="34"/>
      <c r="F114" s="7" t="s">
        <v>8</v>
      </c>
      <c r="G114" s="16"/>
    </row>
  </sheetData>
  <dataValidations>
    <dataValidation type="list" allowBlank="1" sqref="F2:F114">
      <formula1>"yes,no"</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3.71"/>
    <col customWidth="1" min="2" max="2" width="24.14"/>
    <col customWidth="1" min="3" max="3" width="97.71"/>
    <col customWidth="1" min="4" max="5" width="59.0"/>
    <col customWidth="1" min="6" max="6" width="28.71"/>
    <col customWidth="1" min="7" max="7" width="29.29"/>
  </cols>
  <sheetData>
    <row r="1">
      <c r="A1" s="1" t="s">
        <v>0</v>
      </c>
      <c r="B1" s="1" t="s">
        <v>1</v>
      </c>
      <c r="C1" s="13" t="s">
        <v>2</v>
      </c>
      <c r="D1" s="13" t="s">
        <v>3</v>
      </c>
      <c r="E1" s="13" t="s">
        <v>4</v>
      </c>
      <c r="F1" s="4" t="s">
        <v>5</v>
      </c>
      <c r="G1" s="4" t="s">
        <v>6</v>
      </c>
    </row>
    <row r="2">
      <c r="A2" s="5">
        <v>1.0</v>
      </c>
      <c r="B2" s="6" t="s">
        <v>31</v>
      </c>
      <c r="C2" s="5"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D2" s="5"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E2" s="5" t="str">
        <f>IFERROR(__xludf.DUMMYFUNCTION("""COMPUTED_VALUE"""),"Use cloud provider services with students plans.")</f>
        <v>Use cloud provider services with students plans.</v>
      </c>
      <c r="F2" s="7" t="s">
        <v>8</v>
      </c>
      <c r="G2" s="7"/>
    </row>
    <row r="3" ht="123.75" customHeight="1">
      <c r="A3" s="6">
        <v>2.0</v>
      </c>
      <c r="B3" s="6" t="s">
        <v>31</v>
      </c>
      <c r="C3" s="5"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D3" s="5"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E3" s="5" t="str">
        <f>IFERROR(__xludf.DUMMYFUNCTION("""COMPUTED_VALUE"""),"Build scenarios that students can run on their own computer.")</f>
        <v>Build scenarios that students can run on their own computer.</v>
      </c>
      <c r="F3" s="7" t="s">
        <v>8</v>
      </c>
      <c r="G3" s="7"/>
    </row>
    <row r="4" ht="115.5" customHeight="1">
      <c r="A4" s="5">
        <v>4.0</v>
      </c>
      <c r="B4" s="6" t="s">
        <v>31</v>
      </c>
      <c r="C4" s="5" t="str">
        <f>IFERROR(__xludf.DUMMYFUNCTION("filter('Imported Recommendations'!B:D,'Imported Recommendations'!A:A=A4)"),"This was somehow harmonized.")</f>
        <v>This was somehow harmonized.</v>
      </c>
      <c r="D4" s="5" t="str">
        <f>IFERROR(__xludf.DUMMYFUNCTION("""COMPUTED_VALUE"""),"Define what are the devops concepts.")</f>
        <v>Define what are the devops concepts.</v>
      </c>
      <c r="E4" s="5"/>
      <c r="F4" s="7" t="s">
        <v>9</v>
      </c>
      <c r="G4" s="7"/>
    </row>
    <row r="5">
      <c r="A5" s="5">
        <v>5.0</v>
      </c>
      <c r="B5" s="6" t="s">
        <v>31</v>
      </c>
      <c r="C5" s="5"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D5" s="6"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E5" s="6" t="str">
        <f>IFERROR(__xludf.DUMMYFUNCTION("""COMPUTED_VALUE"""),"The assess should be with hands-on activity.")</f>
        <v>The assess should be with hands-on activity.</v>
      </c>
      <c r="F5" s="7" t="s">
        <v>9</v>
      </c>
      <c r="G5" s="7"/>
    </row>
    <row r="6" ht="221.25" customHeight="1">
      <c r="A6" s="5">
        <v>7.0</v>
      </c>
      <c r="B6" s="6" t="s">
        <v>31</v>
      </c>
      <c r="C6" s="5" t="str">
        <f>IFERROR(__xludf.DUMMYFUNCTION("filter('Imported Recommendations'!B:D,'Imported Recommendations'!A:A=A6)"),"I think a potential candidate is GNS3.")</f>
        <v>I think a potential candidate is GNS3.</v>
      </c>
      <c r="D6" s="5" t="str">
        <f>IFERROR(__xludf.DUMMYFUNCTION("""COMPUTED_VALUE"""),"The GNS3 tool is a potential candidate as a tool for teaching DevOps.")</f>
        <v>The GNS3 tool is a potential candidate as a tool for teaching DevOps.</v>
      </c>
      <c r="E6" s="5"/>
      <c r="F6" s="7" t="s">
        <v>9</v>
      </c>
      <c r="G6" s="7"/>
    </row>
    <row r="7">
      <c r="A7" s="5">
        <v>8.0</v>
      </c>
      <c r="B7" s="6" t="s">
        <v>31</v>
      </c>
      <c r="C7" s="5"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D7" s="5" t="str">
        <f>IFERROR(__xludf.DUMMYFUNCTION("""COMPUTED_VALUE"""),"Ansible as deployment automation tools can be used in teaching DevOps.")</f>
        <v>Ansible as deployment automation tools can be used in teaching DevOps.</v>
      </c>
      <c r="E7" s="5"/>
      <c r="F7" s="7" t="s">
        <v>9</v>
      </c>
      <c r="G7" s="7"/>
    </row>
    <row r="8">
      <c r="A8" s="5">
        <v>9.0</v>
      </c>
      <c r="B8" s="6" t="s">
        <v>31</v>
      </c>
      <c r="C8" s="5"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D8" s="5"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E8" s="5" t="str">
        <f>IFERROR(__xludf.DUMMYFUNCTION("""COMPUTED_VALUE"""),"Teaching method based on practical activities.")</f>
        <v>Teaching method based on practical activities.</v>
      </c>
      <c r="F8" s="7" t="s">
        <v>8</v>
      </c>
      <c r="G8" s="7"/>
    </row>
    <row r="9" ht="134.25" customHeight="1">
      <c r="A9" s="5">
        <v>10.0</v>
      </c>
      <c r="B9" s="6" t="s">
        <v>31</v>
      </c>
      <c r="C9" s="5"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D9" s="5"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E9" s="5" t="str">
        <f>IFERROR(__xludf.DUMMYFUNCTION("""COMPUTED_VALUE"""),"Focus more on the practical part compared to the theoretical part of DevOps.")</f>
        <v>Focus more on the practical part compared to the theoretical part of DevOps.</v>
      </c>
      <c r="F9" s="7" t="s">
        <v>9</v>
      </c>
      <c r="G9" s="7"/>
    </row>
    <row r="10">
      <c r="A10" s="5">
        <v>11.0</v>
      </c>
      <c r="B10" s="6" t="s">
        <v>31</v>
      </c>
      <c r="C10" s="5"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D10" s="5"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E10" s="5" t="str">
        <f>IFERROR(__xludf.DUMMYFUNCTION("""COMPUTED_VALUE"""),"Divide the workload of subjects that are related to networking and programming.")</f>
        <v>Divide the workload of subjects that are related to networking and programming.</v>
      </c>
      <c r="F10" s="7" t="s">
        <v>9</v>
      </c>
      <c r="G10" s="7"/>
    </row>
    <row r="11">
      <c r="A11" s="5">
        <v>12.0</v>
      </c>
      <c r="B11" s="6" t="s">
        <v>31</v>
      </c>
      <c r="C11" s="5"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D11" s="5"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E11" s="5" t="str">
        <f>IFERROR(__xludf.DUMMYFUNCTION("""COMPUTED_VALUE"""),"Delegate the responsibility for finding adequate infrastructure for the student.")</f>
        <v>Delegate the responsibility for finding adequate infrastructure for the student.</v>
      </c>
      <c r="F11" s="7" t="s">
        <v>8</v>
      </c>
      <c r="G11" s="4"/>
    </row>
    <row r="12">
      <c r="A12" s="5">
        <v>13.0</v>
      </c>
      <c r="B12" s="6" t="s">
        <v>31</v>
      </c>
      <c r="C12" s="5"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D12" s="5"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E12" s="5" t="str">
        <f>IFERROR(__xludf.DUMMYFUNCTION("""COMPUTED_VALUE"""),"Use a textbook as a basis to guide the course classes.")</f>
        <v>Use a textbook as a basis to guide the course classes.</v>
      </c>
      <c r="F12" s="7" t="s">
        <v>8</v>
      </c>
      <c r="G12" s="7"/>
    </row>
    <row r="13">
      <c r="A13" s="5">
        <v>14.0</v>
      </c>
      <c r="B13" s="6" t="s">
        <v>31</v>
      </c>
      <c r="C13" s="5"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D13" s="5" t="str">
        <f>IFERROR(__xludf.DUMMYFUNCTION("""COMPUTED_VALUE"""),"Work on improving students' skills related to non-functional requirements.")</f>
        <v>Work on improving students' skills related to non-functional requirements.</v>
      </c>
      <c r="E13" s="5"/>
      <c r="F13" s="7" t="s">
        <v>8</v>
      </c>
      <c r="G13" s="7"/>
    </row>
    <row r="14">
      <c r="A14" s="5">
        <v>15.0</v>
      </c>
      <c r="B14" s="6" t="s">
        <v>31</v>
      </c>
      <c r="C14" s="5"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D14" s="5"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E14" s="5" t="str">
        <f>IFERROR(__xludf.DUMMYFUNCTION("""COMPUTED_VALUE"""),"Use a learning tool to easy the DevOps teaching.")</f>
        <v>Use a learning tool to easy the DevOps teaching.</v>
      </c>
      <c r="F14" s="7" t="s">
        <v>9</v>
      </c>
      <c r="G14" s="7"/>
    </row>
    <row r="15">
      <c r="A15" s="5">
        <v>17.0</v>
      </c>
      <c r="B15" s="6" t="s">
        <v>31</v>
      </c>
      <c r="C15" s="5" t="str">
        <f>IFERROR(__xludf.DUMMYFUNCTION("filter('Imported Recommendations'!B:D,'Imported Recommendations'!A:A=A15)"),"We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D15" s="5"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E15" s="5" t="str">
        <f>IFERROR(__xludf.DUMMYFUNCTION("""COMPUTED_VALUE"""),"Evaluate level of participation and difficulty of students in teamwork.")</f>
        <v>Evaluate level of participation and difficulty of students in teamwork.</v>
      </c>
      <c r="F15" s="7" t="s">
        <v>8</v>
      </c>
      <c r="G15" s="7"/>
    </row>
    <row r="16">
      <c r="A16" s="5">
        <v>18.0</v>
      </c>
      <c r="B16" s="6" t="s">
        <v>31</v>
      </c>
      <c r="C16" s="5" t="str">
        <f>IFERROR(__xludf.DUMMYFUNCTION("filter('Imported Recommendations'!B:D,'Imported Recommendations'!A:A=A16)"),"We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D16" s="5" t="str">
        <f>IFERROR(__xludf.DUMMYFUNCTION("""COMPUTED_VALUE"""),"Monitoring of students through activities in a learning support environment.")</f>
        <v>Monitoring of students through activities in a learning support environment.</v>
      </c>
      <c r="E16" s="5"/>
      <c r="F16" s="7" t="s">
        <v>8</v>
      </c>
      <c r="G16" s="7"/>
    </row>
    <row r="17">
      <c r="A17" s="5">
        <v>20.0</v>
      </c>
      <c r="B17" s="6" t="s">
        <v>31</v>
      </c>
      <c r="C17" s="5" t="str">
        <f>IFERROR(__xludf.DUMMYFUNCTION("filter('Imported Recommendations'!B:D,'Imported Recommendations'!A:A=A17)"),"Suppose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D17" s="5"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E17" s="5"/>
      <c r="F17" s="7" t="s">
        <v>9</v>
      </c>
      <c r="G17" s="7"/>
    </row>
    <row r="18">
      <c r="A18" s="5">
        <v>21.0</v>
      </c>
      <c r="B18" s="6" t="s">
        <v>31</v>
      </c>
      <c r="C18" s="5" t="str">
        <f>IFERROR(__xludf.DUMMYFUNCTION("filter('Imported Recommendations'!B:D,'Imported Recommendations'!A:A=A18)"),"They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D18" s="5"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E18" s="5" t="str">
        <f>IFERROR(__xludf.DUMMYFUNCTION("""COMPUTED_VALUE"""),"Teach social coding.")</f>
        <v>Teach social coding.</v>
      </c>
      <c r="F18" s="7" t="s">
        <v>8</v>
      </c>
      <c r="G18" s="7"/>
    </row>
    <row r="19">
      <c r="A19" s="5">
        <v>23.0</v>
      </c>
      <c r="B19" s="6" t="s">
        <v>31</v>
      </c>
      <c r="C19" s="5" t="str">
        <f>IFERROR(__xludf.DUMMYFUNCTION("filter('Imported Recommendations'!B:D,'Imported Recommendations'!A:A=A19)"),"The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D19" s="5" t="str">
        <f>IFERROR(__xludf.DUMMYFUNCTION("""COMPUTED_VALUE"""),"The Continuous Integration and industry tools must be in the curricula.")</f>
        <v>The Continuous Integration and industry tools must be in the curricula.</v>
      </c>
      <c r="E19" s="5"/>
      <c r="F19" s="7" t="s">
        <v>9</v>
      </c>
      <c r="G19" s="7"/>
    </row>
    <row r="20">
      <c r="A20" s="32">
        <v>24.0</v>
      </c>
      <c r="B20" s="33" t="s">
        <v>31</v>
      </c>
      <c r="C20" s="5" t="str">
        <f>IFERROR(__xludf.DUMMYFUNCTION("filter('Imported Recommendations'!B:D,'Imported Recommendations'!A:A=A20)"),"But as there isn't, we find different materials; we have several publications.")</f>
        <v>But as there isn't, we find different materials; we have several publications.</v>
      </c>
      <c r="D20" s="32"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E20" s="32"/>
      <c r="F20" s="7" t="s">
        <v>8</v>
      </c>
      <c r="G20" s="7"/>
    </row>
    <row r="21">
      <c r="A21" s="32">
        <v>25.0</v>
      </c>
      <c r="B21" s="33" t="s">
        <v>31</v>
      </c>
      <c r="C21" s="5" t="str">
        <f>IFERROR(__xludf.DUMMYFUNCTION("filter('Imported Recommendations'!B:D,'Imported Recommendations'!A:A=A21)"),"[...]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D21" s="32"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E21" s="32"/>
      <c r="F21" s="7" t="s">
        <v>8</v>
      </c>
      <c r="G21" s="7"/>
    </row>
    <row r="22" ht="134.25" customHeight="1">
      <c r="A22" s="41">
        <v>26.0</v>
      </c>
      <c r="B22" s="36" t="s">
        <v>31</v>
      </c>
      <c r="C22" s="5" t="str">
        <f>IFERROR(__xludf.DUMMYFUNCTION("filter('Imported Recommendations'!B:D,'Imported Recommendations'!A:A=A22)"),"The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D22" s="41" t="str">
        <f>IFERROR(__xludf.DUMMYFUNCTION("""COMPUTED_VALUE"""),"You can use the same discipline of DevOps for operation groups focused on safety and development groups.")</f>
        <v>You can use the same discipline of DevOps for operation groups focused on safety and development groups.</v>
      </c>
      <c r="E22" s="41"/>
      <c r="F22" s="7" t="s">
        <v>9</v>
      </c>
      <c r="G22" s="7"/>
    </row>
    <row r="23" ht="221.25" customHeight="1">
      <c r="A23" s="41">
        <v>27.0</v>
      </c>
      <c r="B23" s="36" t="s">
        <v>31</v>
      </c>
      <c r="C23" s="5" t="str">
        <f>IFERROR(__xludf.DUMMYFUNCTION("filter('Imported Recommendations'!B:D,'Imported Recommendations'!A:A=A23)"),"In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D23" s="41" t="str">
        <f>IFERROR(__xludf.DUMMYFUNCTION("""COMPUTED_VALUE"""),"Teach the part of cloud vulnerability, architecture, and network management to the security classes in DevOps.")</f>
        <v>Teach the part of cloud vulnerability, architecture, and network management to the security classes in DevOps.</v>
      </c>
      <c r="E23" s="41"/>
      <c r="F23" s="7" t="s">
        <v>9</v>
      </c>
      <c r="G23" s="7"/>
    </row>
    <row r="24">
      <c r="A24" s="41">
        <v>29.0</v>
      </c>
      <c r="B24" s="36" t="s">
        <v>31</v>
      </c>
      <c r="C24" s="5" t="str">
        <f>IFERROR(__xludf.DUMMYFUNCTION("filter('Imported Recommendations'!B:D,'Imported Recommendations'!A:A=A24)"),"The recommendation is to understand the learning context of the class.
Adapt the menu according to the student profile you have.")</f>
        <v>The recommendation is to understand the learning context of the class.
Adapt the menu according to the student profile you have.</v>
      </c>
      <c r="D24" s="41" t="str">
        <f>IFERROR(__xludf.DUMMYFUNCTION("""COMPUTED_VALUE"""),"Identify the most compatible DevOps scope for each class.
Adapt the course according to the profile of students.")</f>
        <v>Identify the most compatible DevOps scope for each class.
Adapt the course according to the profile of students.</v>
      </c>
      <c r="E24" s="41" t="str">
        <f>IFERROR(__xludf.DUMMYFUNCTION("""COMPUTED_VALUE"""),"Identify the most compatible DevOps scope for each class.")</f>
        <v>Identify the most compatible DevOps scope for each class.</v>
      </c>
      <c r="F24" s="7" t="s">
        <v>9</v>
      </c>
      <c r="G24" s="7"/>
    </row>
    <row r="25">
      <c r="A25" s="41">
        <v>30.0</v>
      </c>
      <c r="B25" s="36" t="s">
        <v>31</v>
      </c>
      <c r="C25" s="5" t="str">
        <f>IFERROR(__xludf.DUMMYFUNCTION("filter('Imported Recommendations'!B:D,'Imported Recommendations'!A:A=A25)"),"Having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D25" s="41"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E25" s="41" t="str">
        <f>IFERROR(__xludf.DUMMYFUNCTION("""COMPUTED_VALUE"""),"Teach using examples.")</f>
        <v>Teach using examples.</v>
      </c>
      <c r="F25" s="7" t="s">
        <v>8</v>
      </c>
      <c r="G25" s="7"/>
    </row>
    <row r="26">
      <c r="A26" s="41">
        <v>32.0</v>
      </c>
      <c r="B26" s="36" t="s">
        <v>31</v>
      </c>
      <c r="C26" s="5" t="str">
        <f>IFERROR(__xludf.DUMMYFUNCTION("filter('Imported Recommendations'!B:D,'Imported Recommendations'!A:A=A26)"),"Present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D26" s="41"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E26" s="41" t="str">
        <f>IFERROR(__xludf.DUMMYFUNCTION("""COMPUTED_VALUE"""),"Introduce well-established concepts by the DevOps community, such as the DevOps pipeline process.")</f>
        <v>Introduce well-established concepts by the DevOps community, such as the DevOps pipeline process.</v>
      </c>
      <c r="F26" s="7" t="s">
        <v>9</v>
      </c>
      <c r="G26" s="7"/>
    </row>
    <row r="27">
      <c r="A27" s="41">
        <v>33.0</v>
      </c>
      <c r="B27" s="36" t="s">
        <v>31</v>
      </c>
      <c r="C27" s="5" t="str">
        <f>IFERROR(__xludf.DUMMYFUNCTION("filter('Imported Recommendations'!B:D,'Imported Recommendations'!A:A=A27)"),"Present [...] cases on how this translates, [...] eliminating the silos between operations and development.")</f>
        <v>Present [...] cases on how this translates, [...] eliminating the silos between operations and development.</v>
      </c>
      <c r="D27" s="41"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E27" s="41" t="str">
        <f>IFERROR(__xludf.DUMMYFUNCTION("""COMPUTED_VALUE"""),"Show use cases of DevOps.")</f>
        <v>Show use cases of DevOps.</v>
      </c>
      <c r="F27" s="7" t="s">
        <v>9</v>
      </c>
      <c r="G27" s="7"/>
    </row>
    <row r="28">
      <c r="A28" s="41">
        <v>35.0</v>
      </c>
      <c r="B28" s="36" t="s">
        <v>31</v>
      </c>
      <c r="C28" s="10" t="str">
        <f>IFERROR(__xludf.DUMMYFUNCTION("filter('Imported Recommendations'!B:D,'Imported Recommendations'!A:A=A28)"),"Build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D28" s="41"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E28" s="41" t="str">
        <f>IFERROR(__xludf.DUMMYFUNCTION("""COMPUTED_VALUE"""),"Delimit a specific set of tools to build a scenario.")</f>
        <v>Delimit a specific set of tools to build a scenario.</v>
      </c>
      <c r="F28" s="7" t="s">
        <v>8</v>
      </c>
      <c r="G28" s="7"/>
    </row>
    <row r="29">
      <c r="A29" s="41">
        <v>36.0</v>
      </c>
      <c r="B29" s="36" t="s">
        <v>31</v>
      </c>
      <c r="C29" s="10" t="str">
        <f>IFERROR(__xludf.DUMMYFUNCTION("filter('Imported Recommendations'!B:D,'Imported Recommendations'!A:A=A29)"),"If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D29" s="41"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E29" s="41" t="str">
        <f>IFERROR(__xludf.DUMMYFUNCTION("""COMPUTED_VALUE"""),"Use cloud provider services.")</f>
        <v>Use cloud provider services.</v>
      </c>
      <c r="F29" s="7" t="s">
        <v>8</v>
      </c>
      <c r="G29" s="7"/>
    </row>
    <row r="30">
      <c r="A30" s="41">
        <v>38.0</v>
      </c>
      <c r="B30" s="36" t="s">
        <v>31</v>
      </c>
      <c r="C30" s="5" t="str">
        <f>IFERROR(__xludf.DUMMYFUNCTION("filter('Imported Recommendations'!B:D,'Imported Recommendations'!A:A=A30)"),"This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D30" s="41"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E30" s="41"/>
      <c r="F30" s="7" t="s">
        <v>9</v>
      </c>
      <c r="G30" s="7"/>
    </row>
    <row r="31">
      <c r="A31" s="41">
        <v>39.0</v>
      </c>
      <c r="B31" s="36" t="s">
        <v>31</v>
      </c>
      <c r="C31" s="5" t="str">
        <f>IFERROR(__xludf.DUMMYFUNCTION("filter('Imported Recommendations'!B:D,'Imported Recommendations'!A:A=A31)"),"This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31" s="41" t="str">
        <f>IFERROR(__xludf.DUMMYFUNCTION("""COMPUTED_VALUE"""),"Half of the curriculum with DevOps concepts/culture. Half the curriculum with tools.")</f>
        <v>Half of the curriculum with DevOps concepts/culture. Half the curriculum with tools.</v>
      </c>
      <c r="E31" s="41"/>
      <c r="F31" s="7" t="s">
        <v>9</v>
      </c>
      <c r="G31" s="7"/>
    </row>
    <row r="32">
      <c r="A32" s="41">
        <v>41.0</v>
      </c>
      <c r="B32" s="36" t="s">
        <v>31</v>
      </c>
      <c r="C32" s="10" t="str">
        <f>IFERROR(__xludf.DUMMYFUNCTION("filter('Imported Recommendations'!B:D,'Imported Recommendations'!A:A=A32)"),"Always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D32" s="44"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E32" s="44" t="str">
        <f>IFERROR(__xludf.DUMMYFUNCTION("""COMPUTED_VALUE"""),"Teach the DevOps mindset.")</f>
        <v>Teach the DevOps mindset.</v>
      </c>
      <c r="F32" s="7" t="s">
        <v>9</v>
      </c>
      <c r="G32" s="7"/>
    </row>
    <row r="33">
      <c r="A33" s="41">
        <v>44.0</v>
      </c>
      <c r="B33" s="36" t="s">
        <v>31</v>
      </c>
      <c r="C33" s="5" t="str">
        <f>IFERROR(__xludf.DUMMYFUNCTION("filter('Imported Recommendations'!B:D,'Imported Recommendations'!A:A=A33)"),"Nor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D33" s="41"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E33" s="41"/>
      <c r="F33" s="7" t="s">
        <v>8</v>
      </c>
      <c r="G33" s="7"/>
    </row>
    <row r="34">
      <c r="A34" s="41">
        <v>45.0</v>
      </c>
      <c r="B34" s="36" t="s">
        <v>31</v>
      </c>
      <c r="C34" s="5" t="str">
        <f>IFERROR(__xludf.DUMMYFUNCTION("filter('Imported Recommendations'!B:D,'Imported Recommendations'!A:A=A34)"),"All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D34" s="41"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E34" s="41" t="str">
        <f>IFERROR(__xludf.DUMMYFUNCTION("""COMPUTED_VALUE"""),"Terraform as a deployment provisioning tool can be used in teaching devops.")</f>
        <v>Terraform as a deployment provisioning tool can be used in teaching devops.</v>
      </c>
      <c r="F34" s="7" t="s">
        <v>9</v>
      </c>
      <c r="G34" s="7"/>
    </row>
    <row r="35">
      <c r="A35" s="41">
        <v>48.0</v>
      </c>
      <c r="B35" s="36" t="s">
        <v>31</v>
      </c>
      <c r="C35" s="5" t="str">
        <f>IFERROR(__xludf.DUMMYFUNCTION("filter('Imported Recommendations'!B:D,'Imported Recommendations'!A:A=A35)"),"So,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D35" s="41" t="str">
        <f>IFERROR(__xludf.DUMMYFUNCTION("""COMPUTED_VALUE"""),"Use examples with students to teach theory. For instance, we are using blocks or Trello to teach Lean.")</f>
        <v>Use examples with students to teach theory. For instance, we are using blocks or Trello to teach Lean.</v>
      </c>
      <c r="E35" s="41"/>
      <c r="F35" s="7" t="s">
        <v>8</v>
      </c>
      <c r="G35" s="7"/>
    </row>
    <row r="36">
      <c r="A36" s="41">
        <v>51.0</v>
      </c>
      <c r="B36" s="36" t="s">
        <v>31</v>
      </c>
      <c r="C36" s="5" t="str">
        <f>IFERROR(__xludf.DUMMYFUNCTION("filter('Imported Recommendations'!B:D,'Imported Recommendations'!A:A=A36)"),"If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D36" s="41" t="str">
        <f>IFERROR(__xludf.DUMMYFUNCTION("""COMPUTED_VALUE"""),"Share course prerequisites with students in advance.")</f>
        <v>Share course prerequisites with students in advance.</v>
      </c>
      <c r="E36" s="41"/>
      <c r="F36" s="7" t="s">
        <v>8</v>
      </c>
      <c r="G36" s="7"/>
    </row>
    <row r="37">
      <c r="A37" s="41">
        <v>53.0</v>
      </c>
      <c r="B37" s="36" t="s">
        <v>31</v>
      </c>
      <c r="C37" s="10" t="str">
        <f>IFERROR(__xludf.DUMMYFUNCTION("filter('Imported Recommendations'!B:D,'Imported Recommendations'!A:A=A37)"),"So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D37" s="45"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E37" s="45" t="str">
        <f>IFERROR(__xludf.DUMMYFUNCTION("""COMPUTED_VALUE"""),"Simulate real problems with the students.")</f>
        <v>Simulate real problems with the students.</v>
      </c>
      <c r="F37" s="7" t="s">
        <v>8</v>
      </c>
      <c r="G37" s="7"/>
    </row>
    <row r="38">
      <c r="A38" s="41">
        <v>54.0</v>
      </c>
      <c r="B38" s="36" t="s">
        <v>31</v>
      </c>
      <c r="C38" s="10" t="str">
        <f>IFERROR(__xludf.DUMMYFUNCTION("filter('Imported Recommendations'!B:D,'Imported Recommendations'!A:A=A38)"),"From a didactic point of view, we leave one or two hours before each day; there is a specific infra team to answer any student's doubts.")</f>
        <v>From a didactic point of view, we leave one or two hours before each day; there is a specific infra team to answer any student's doubts.</v>
      </c>
      <c r="D38" s="44" t="str">
        <f>IFERROR(__xludf.DUMMYFUNCTION("""COMPUTED_VALUE"""),"There is a specific support team to answer students' questions about the related infrastructure part.")</f>
        <v>There is a specific support team to answer students' questions about the related infrastructure part.</v>
      </c>
      <c r="E38" s="44"/>
      <c r="F38" s="7" t="s">
        <v>8</v>
      </c>
      <c r="G38" s="7"/>
    </row>
    <row r="39">
      <c r="A39" s="41">
        <v>56.0</v>
      </c>
      <c r="B39" s="36" t="s">
        <v>31</v>
      </c>
      <c r="C39" s="10" t="str">
        <f>IFERROR(__xludf.DUMMYFUNCTION("filter('Imported Recommendations'!B:D,'Imported Recommendations'!A:A=A39)"),"A task tracking tool. Then it can be Notion or Trello; I think it's essential.")</f>
        <v>A task tracking tool. Then it can be Notion or Trello; I think it's essential.</v>
      </c>
      <c r="D39" s="44" t="str">
        <f>IFERROR(__xludf.DUMMYFUNCTION("""COMPUTED_VALUE"""),"Use a task tracking tool like Trello or Notion.")</f>
        <v>Use a task tracking tool like Trello or Notion.</v>
      </c>
      <c r="E39" s="44"/>
      <c r="F39" s="7" t="s">
        <v>8</v>
      </c>
      <c r="G39" s="7"/>
    </row>
    <row r="40">
      <c r="A40" s="41">
        <v>57.0</v>
      </c>
      <c r="B40" s="36" t="s">
        <v>31</v>
      </c>
      <c r="C40" s="10" t="str">
        <f>IFERROR(__xludf.DUMMYFUNCTION("filter('Imported Recommendations'!B:D,'Imported Recommendations'!A:A=A40)"),"There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D40" s="44"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E40" s="44" t="str">
        <f>IFERROR(__xludf.DUMMYFUNCTION("""COMPUTED_VALUE"""),"Use streaming tool like Zoom in remote learning scenario.")</f>
        <v>Use streaming tool like Zoom in remote learning scenario.</v>
      </c>
      <c r="F40" s="7" t="s">
        <v>8</v>
      </c>
      <c r="G40" s="7"/>
    </row>
    <row r="41">
      <c r="A41" s="41">
        <v>59.0</v>
      </c>
      <c r="B41" s="36" t="s">
        <v>31</v>
      </c>
      <c r="C41" s="10" t="str">
        <f>IFERROR(__xludf.DUMMYFUNCTION("filter('Imported Recommendations'!B:D,'Imported Recommendations'!A:A=A41)"),"And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D41" s="44"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E41" s="44" t="str">
        <f>IFERROR(__xludf.DUMMYFUNCTION("""COMPUTED_VALUE"""),"Use a code repository tool like Github.")</f>
        <v>Use a code repository tool like Github.</v>
      </c>
      <c r="F41" s="7" t="s">
        <v>8</v>
      </c>
      <c r="G41" s="7"/>
    </row>
    <row r="42">
      <c r="A42" s="41">
        <v>60.0</v>
      </c>
      <c r="B42" s="36" t="s">
        <v>31</v>
      </c>
      <c r="C42" s="10" t="str">
        <f>IFERROR(__xludf.DUMMYFUNCTION("filter('Imported Recommendations'!B:D,'Imported Recommendations'!A:A=A42)"),"We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D42" s="44"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E42" s="44" t="str">
        <f>IFERROR(__xludf.DUMMYFUNCTION("""COMPUTED_VALUE"""),"Use Jenkins tool.")</f>
        <v>Use Jenkins tool.</v>
      </c>
      <c r="F42" s="7" t="s">
        <v>9</v>
      </c>
      <c r="G42" s="7"/>
    </row>
    <row r="43">
      <c r="A43" s="41">
        <v>62.0</v>
      </c>
      <c r="B43" s="36" t="s">
        <v>31</v>
      </c>
      <c r="C43" s="10" t="str">
        <f>IFERROR(__xludf.DUMMYFUNCTION("filter('Imported Recommendations'!B:D,'Imported Recommendations'!A:A=A43)"),"So,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D43" s="44" t="str">
        <f>IFERROR(__xludf.DUMMYFUNCTION("""COMPUTED_VALUE"""),"Limit the zoom FPS rate to 10, avoiding excessive student and instructor resource consumption.")</f>
        <v>Limit the zoom FPS rate to 10, avoiding excessive student and instructor resource consumption.</v>
      </c>
      <c r="E43" s="44"/>
      <c r="F43" s="7" t="s">
        <v>8</v>
      </c>
      <c r="G43" s="7"/>
    </row>
    <row r="44">
      <c r="A44" s="41">
        <v>63.0</v>
      </c>
      <c r="B44" s="36" t="s">
        <v>31</v>
      </c>
      <c r="C44" s="10" t="str">
        <f>IFERROR(__xludf.DUMMYFUNCTION("filter('Imported Recommendations'!B:D,'Imported Recommendations'!A:A=A44)"),"It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D44" s="44"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E44" s="44"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F44" s="7" t="s">
        <v>8</v>
      </c>
      <c r="G44" s="7"/>
    </row>
    <row r="45">
      <c r="A45" s="41">
        <v>66.0</v>
      </c>
      <c r="B45" s="36" t="s">
        <v>31</v>
      </c>
      <c r="C45" s="10" t="str">
        <f>IFERROR(__xludf.DUMMYFUNCTION("filter('Imported Recommendations'!B:D,'Imported Recommendations'!A:A=A45)"),"If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D45" s="44" t="str">
        <f>IFERROR(__xludf.DUMMYFUNCTION("""COMPUTED_VALUE"""),"Record a training for the teacher to assess language addiction and whether the class flowed as planned.")</f>
        <v>Record a training for the teacher to assess language addiction and whether the class flowed as planned.</v>
      </c>
      <c r="E45" s="44"/>
      <c r="F45" s="7" t="s">
        <v>8</v>
      </c>
      <c r="G45" s="7"/>
    </row>
    <row r="46">
      <c r="A46" s="41">
        <v>68.0</v>
      </c>
      <c r="B46" s="36" t="s">
        <v>31</v>
      </c>
      <c r="C46" s="10" t="str">
        <f>IFERROR(__xludf.DUMMYFUNCTION("filter('Imported Recommendations'!B:D,'Imported Recommendations'!A:A=A46)"),"We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D46" s="44" t="str">
        <f>IFERROR(__xludf.DUMMYFUNCTION("""COMPUTED_VALUE"""),"In the theoretical part of DevOps, Lean, Kaisen, and Agile should be taught.")</f>
        <v>In the theoretical part of DevOps, Lean, Kaisen, and Agile should be taught.</v>
      </c>
      <c r="E46" s="44"/>
      <c r="F46" s="7" t="s">
        <v>9</v>
      </c>
      <c r="G46" s="7"/>
    </row>
    <row r="47">
      <c r="A47" s="41">
        <v>69.0</v>
      </c>
      <c r="B47" s="36" t="s">
        <v>31</v>
      </c>
      <c r="C47" s="10" t="str">
        <f>IFERROR(__xludf.DUMMYFUNCTION("filter('Imported Recommendations'!B:D,'Imported Recommendations'!A:A=A47)"),"What is practical, from the menu, is to make an end-to-end software, [...] But, end-to-end, and the end, which is monitoring.")</f>
        <v>What is practical, from the menu, is to make an end-to-end software, [...] But, end-to-end, and the end, which is monitoring.</v>
      </c>
      <c r="D47" s="44" t="str">
        <f>IFERROR(__xludf.DUMMYFUNCTION("""COMPUTED_VALUE"""),"Make software from start to finish, going through the DevOps steps to the monitoring step.")</f>
        <v>Make software from start to finish, going through the DevOps steps to the monitoring step.</v>
      </c>
      <c r="E47" s="44"/>
      <c r="F47" s="7" t="s">
        <v>9</v>
      </c>
      <c r="G47" s="7"/>
    </row>
    <row r="48">
      <c r="A48" s="41">
        <v>71.0</v>
      </c>
      <c r="B48" s="36" t="s">
        <v>31</v>
      </c>
      <c r="C48" s="10" t="str">
        <f>IFERROR(__xludf.DUMMYFUNCTION("filter('Imported Recommendations'!B:D,'Imported Recommendations'!A:A=A48)"),"The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D48" s="44" t="str">
        <f>IFERROR(__xludf.DUMMYFUNCTION("""COMPUTED_VALUE"""),"Use Grafana and Prometheus as monitoring tools.")</f>
        <v>Use Grafana and Prometheus as monitoring tools.</v>
      </c>
      <c r="E48" s="44"/>
      <c r="F48" s="7" t="s">
        <v>9</v>
      </c>
      <c r="G48" s="7"/>
    </row>
    <row r="49">
      <c r="A49" s="41">
        <v>72.0</v>
      </c>
      <c r="B49" s="36" t="s">
        <v>31</v>
      </c>
      <c r="C49" s="10" t="str">
        <f>IFERROR(__xludf.DUMMYFUNCTION("filter('Imported Recommendations'!B:D,'Imported Recommendations'!A:A=A49)"),"Of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D49" s="44" t="str">
        <f>IFERROR(__xludf.DUMMYFUNCTION("""COMPUTED_VALUE"""),"Use a complete example project from places such as a java discussion forum.")</f>
        <v>Use a complete example project from places such as a java discussion forum.</v>
      </c>
      <c r="E49" s="44"/>
      <c r="F49" s="7" t="s">
        <v>8</v>
      </c>
      <c r="G49" s="7"/>
    </row>
    <row r="50">
      <c r="A50" s="41">
        <v>74.0</v>
      </c>
      <c r="B50" s="36" t="s">
        <v>31</v>
      </c>
      <c r="C50" s="10" t="str">
        <f>IFERROR(__xludf.DUMMYFUNCTION("filter('Imported Recommendations'!B:D,'Imported Recommendations'!A:A=A50)"),"Make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D50" s="44"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E50" s="44"/>
      <c r="F50" s="7" t="s">
        <v>8</v>
      </c>
      <c r="G50" s="7"/>
    </row>
    <row r="51">
      <c r="A51" s="41">
        <v>75.0</v>
      </c>
      <c r="B51" s="36" t="s">
        <v>31</v>
      </c>
      <c r="C51" s="10" t="str">
        <f>IFERROR(__xludf.DUMMYFUNCTION("filter('Imported Recommendations'!B:D,'Imported Recommendations'!A:A=A51)"),"Within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D51" s="44"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E51" s="44" t="str">
        <f>IFERROR(__xludf.DUMMYFUNCTION("""COMPUTED_VALUE"""),"Show the student that there are several ways and tools to do the task.")</f>
        <v>Show the student that there are several ways and tools to do the task.</v>
      </c>
      <c r="F51" s="7" t="s">
        <v>8</v>
      </c>
      <c r="G51" s="7"/>
    </row>
    <row r="52">
      <c r="A52" s="41">
        <v>77.0</v>
      </c>
      <c r="B52" s="36" t="s">
        <v>31</v>
      </c>
      <c r="C52" s="10" t="str">
        <f>IFERROR(__xludf.DUMMYFUNCTION("filter('Imported Recommendations'!B:D,'Imported Recommendations'!A:A=A52)"),"The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52" s="44" t="str">
        <f>IFERROR(__xludf.DUMMYFUNCTION("""COMPUTED_VALUE"""),"Exercise as many tools as possible.")</f>
        <v>Exercise as many tools as possible.</v>
      </c>
      <c r="E52" s="44"/>
      <c r="F52" s="7" t="s">
        <v>8</v>
      </c>
      <c r="G52" s="7"/>
    </row>
    <row r="53">
      <c r="A53" s="41">
        <v>78.0</v>
      </c>
      <c r="B53" s="36" t="s">
        <v>31</v>
      </c>
      <c r="C53" s="10" t="str">
        <f>IFERROR(__xludf.DUMMYFUNCTION("filter('Imported Recommendations'!B:D,'Imported Recommendations'!A:A=A53)"),"Because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D53" s="44"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E53" s="44" t="str">
        <f>IFERROR(__xludf.DUMMYFUNCTION("""COMPUTED_VALUE"""),"Use various sources of DevOps materials.")</f>
        <v>Use various sources of DevOps materials.</v>
      </c>
      <c r="F53" s="7" t="s">
        <v>9</v>
      </c>
      <c r="G53" s="7"/>
    </row>
    <row r="54">
      <c r="A54" s="41">
        <v>80.0</v>
      </c>
      <c r="B54" s="36" t="s">
        <v>31</v>
      </c>
      <c r="C54" s="10" t="str">
        <f>IFERROR(__xludf.DUMMYFUNCTION("filter('Imported Recommendations'!B:D,'Imported Recommendations'!A:A=A54)"),"Maybe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D54" s="44"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E54" s="44" t="str">
        <f>IFERROR(__xludf.DUMMYFUNCTION("""COMPUTED_VALUE"""),"Provide initial environment setup for students.")</f>
        <v>Provide initial environment setup for students.</v>
      </c>
      <c r="F54" s="7" t="s">
        <v>9</v>
      </c>
      <c r="G54" s="7"/>
    </row>
    <row r="55">
      <c r="A55" s="41">
        <v>81.0</v>
      </c>
      <c r="B55" s="36" t="s">
        <v>31</v>
      </c>
      <c r="C55" s="10" t="str">
        <f>IFERROR(__xludf.DUMMYFUNCTION("filter('Imported Recommendations'!B:D,'Imported Recommendations'!A:A=A55)"),"You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D55" s="44"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E55" s="44" t="str">
        <f>IFERROR(__xludf.DUMMYFUNCTION("""COMPUTED_VALUE"""),"Teach version control with git feature branch workflow.")</f>
        <v>Teach version control with git feature branch workflow.</v>
      </c>
      <c r="F55" s="7" t="s">
        <v>9</v>
      </c>
      <c r="G55" s="7"/>
    </row>
    <row r="56">
      <c r="A56" s="41">
        <v>83.0</v>
      </c>
      <c r="B56" s="36" t="s">
        <v>31</v>
      </c>
      <c r="C56" s="10" t="str">
        <f>IFERROR(__xludf.DUMMYFUNCTION("filter('Imported Recommendations'!B:D,'Imported Recommendations'!A:A=A56)"),"For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D56" s="44"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E56" s="44" t="str">
        <f>IFERROR(__xludf.DUMMYFUNCTION("""COMPUTED_VALUE"""),"Teach continuous integration and pipeline automation.")</f>
        <v>Teach continuous integration and pipeline automation.</v>
      </c>
      <c r="F56" s="7" t="s">
        <v>9</v>
      </c>
      <c r="G56" s="7"/>
    </row>
    <row r="57">
      <c r="A57" s="41">
        <v>84.0</v>
      </c>
      <c r="B57" s="36" t="s">
        <v>31</v>
      </c>
      <c r="C57" s="10" t="str">
        <f>IFERROR(__xludf.DUMMYFUNCTION("filter('Imported Recommendations'!B:D,'Imported Recommendations'!A:A=A57)"),"Jenkins,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D57" s="44"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E57" s="44"/>
      <c r="F57" s="7" t="s">
        <v>9</v>
      </c>
      <c r="G57" s="7"/>
    </row>
    <row r="58">
      <c r="A58" s="41">
        <v>86.0</v>
      </c>
      <c r="B58" s="36" t="s">
        <v>31</v>
      </c>
      <c r="C58" s="10" t="str">
        <f>IFERROR(__xludf.DUMMYFUNCTION("filter('Imported Recommendations'!B:D,'Imported Recommendations'!A:A=A58)"),"I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D58" s="44"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E58" s="44" t="str">
        <f>IFERROR(__xludf.DUMMYFUNCTION("""COMPUTED_VALUE"""),"Do exams with more conceptual questions.")</f>
        <v>Do exams with more conceptual questions.</v>
      </c>
      <c r="F58" s="7" t="s">
        <v>9</v>
      </c>
      <c r="G58" s="7"/>
    </row>
    <row r="59">
      <c r="A59" s="41">
        <v>87.0</v>
      </c>
      <c r="B59" s="36" t="s">
        <v>31</v>
      </c>
      <c r="C59" s="10" t="str">
        <f>IFERROR(__xludf.DUMMYFUNCTION("filter('Imported Recommendations'!B:D,'Imported Recommendations'!A:A=A59)"),"DevOps [...] In the specialization course [...] you can break all this content into more extensive disciplines.")</f>
        <v>DevOps [...] In the specialization course [...] you can break all this content into more extensive disciplines.</v>
      </c>
      <c r="D59" s="46" t="str">
        <f>IFERROR(__xludf.DUMMYFUNCTION("""COMPUTED_VALUE"""),"It is possible to break the teaching of DevOps into various disciplines in a DevOps specialization course.")</f>
        <v>It is possible to break the teaching of DevOps into various disciplines in a DevOps specialization course.</v>
      </c>
      <c r="E59" s="46"/>
      <c r="F59" s="7" t="s">
        <v>9</v>
      </c>
      <c r="G59" s="7"/>
    </row>
    <row r="60">
      <c r="A60" s="41">
        <v>89.0</v>
      </c>
      <c r="B60" s="36" t="s">
        <v>31</v>
      </c>
      <c r="C60" s="10" t="str">
        <f>IFERROR(__xludf.DUMMYFUNCTION("filter('Imported Recommendations'!B:D,'Imported Recommendations'!A:A=A60)"),"During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D60" s="44" t="str">
        <f>IFERROR(__xludf.DUMMYFUNCTION("""COMPUTED_VALUE"""),"Standardize the teaching material for all classes.")</f>
        <v>Standardize the teaching material for all classes.</v>
      </c>
      <c r="E60" s="44"/>
      <c r="F60" s="7" t="s">
        <v>8</v>
      </c>
      <c r="G60" s="7"/>
    </row>
    <row r="61">
      <c r="A61" s="41">
        <v>90.0</v>
      </c>
      <c r="B61" s="36" t="s">
        <v>31</v>
      </c>
      <c r="C61" s="10" t="str">
        <f>IFERROR(__xludf.DUMMYFUNCTION("filter('Imported Recommendations'!B:D,'Imported Recommendations'!A:A=A61)"),"Training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D61" s="44" t="str">
        <f>IFERROR(__xludf.DUMMYFUNCTION("""COMPUTED_VALUE"""),"It is necessary to choose which topics and tools are essential as the course time is limited.")</f>
        <v>It is necessary to choose which topics and tools are essential as the course time is limited.</v>
      </c>
      <c r="E61" s="44"/>
      <c r="F61" s="7" t="s">
        <v>8</v>
      </c>
      <c r="G61" s="7"/>
    </row>
    <row r="62">
      <c r="A62" s="41">
        <v>92.0</v>
      </c>
      <c r="B62" s="36" t="s">
        <v>31</v>
      </c>
      <c r="C62" s="10" t="str">
        <f>IFERROR(__xludf.DUMMYFUNCTION("filter('Imported Recommendations'!B:D,'Imported Recommendations'!A:A=A62)"),"Of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D62" s="44"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E62" s="44"/>
      <c r="F62" s="7" t="s">
        <v>9</v>
      </c>
      <c r="G62" s="7"/>
    </row>
    <row r="63">
      <c r="A63" s="41">
        <v>93.0</v>
      </c>
      <c r="B63" s="36" t="s">
        <v>31</v>
      </c>
      <c r="C63" s="10" t="str">
        <f>IFERROR(__xludf.DUMMYFUNCTION("filter('Imported Recommendations'!B:D,'Imported Recommendations'!A:A=A63)"),"So, we ended up choosing Java because it is the greatest strength; ours, that was Java.")</f>
        <v>So, we ended up choosing Java because it is the greatest strength; ours, that was Java.</v>
      </c>
      <c r="D63" s="44" t="str">
        <f>IFERROR(__xludf.DUMMYFUNCTION("""COMPUTED_VALUE"""),"Use a programming language that the teacher knows.")</f>
        <v>Use a programming language that the teacher knows.</v>
      </c>
      <c r="E63" s="44"/>
      <c r="F63" s="7" t="s">
        <v>8</v>
      </c>
      <c r="G63" s="7"/>
    </row>
    <row r="64">
      <c r="A64" s="41">
        <v>95.0</v>
      </c>
      <c r="B64" s="36" t="s">
        <v>31</v>
      </c>
      <c r="C64" s="10" t="str">
        <f>IFERROR(__xludf.DUMMYFUNCTION("filter('Imported Recommendations'!B:D,'Imported Recommendations'!A:A=A64)"),"We don't evaluate, [...] but we keep observing, right, the students, and such throughout the training.")</f>
        <v>We don't evaluate, [...] but we keep observing, right, the students, and such throughout the training.</v>
      </c>
      <c r="D64" s="44" t="str">
        <f>IFERROR(__xludf.DUMMYFUNCTION("""COMPUTED_VALUE"""),"Monitor student progress throughout training by conducting a traditional assessment.")</f>
        <v>Monitor student progress throughout training by conducting a traditional assessment.</v>
      </c>
      <c r="E64" s="44"/>
      <c r="F64" s="7" t="s">
        <v>8</v>
      </c>
      <c r="G64" s="7"/>
    </row>
    <row r="65">
      <c r="A65" s="41">
        <v>96.0</v>
      </c>
      <c r="B65" s="36" t="s">
        <v>31</v>
      </c>
      <c r="C65" s="10" t="str">
        <f>IFERROR(__xludf.DUMMYFUNCTION("filter('Imported Recommendations'!B:D,'Imported Recommendations'!A:A=A65)"),"One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D65" s="44"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E65" s="44"/>
      <c r="F65" s="7" t="s">
        <v>9</v>
      </c>
      <c r="G65" s="7"/>
    </row>
    <row r="66">
      <c r="A66" s="41">
        <v>98.0</v>
      </c>
      <c r="B66" s="36" t="s">
        <v>31</v>
      </c>
      <c r="C66" s="10" t="str">
        <f>IFERROR(__xludf.DUMMYFUNCTION("filter('Imported Recommendations'!B:D,'Imported Recommendations'!A:A=A66)"),"To get Everything ready to avoid problems and lose the focus and essence of the group.")</f>
        <v>To get Everything ready to avoid problems and lose the focus and essence of the group.</v>
      </c>
      <c r="D66" s="44" t="str">
        <f>IFERROR(__xludf.DUMMYFUNCTION("""COMPUTED_VALUE"""),"Start a class with a pre-organized structure.")</f>
        <v>Start a class with a pre-organized structure.</v>
      </c>
      <c r="E66" s="44"/>
      <c r="F66" s="7" t="s">
        <v>8</v>
      </c>
      <c r="G66" s="7"/>
    </row>
    <row r="67">
      <c r="A67" s="41">
        <v>104.0</v>
      </c>
      <c r="B67" s="36" t="s">
        <v>31</v>
      </c>
      <c r="C67" s="10" t="str">
        <f>IFERROR(__xludf.DUMMYFUNCTION("filter('Imported Recommendations'!B:D,'Imported Recommendations'!A:A=A67)"),"DevOps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D67" s="44"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E67" s="44" t="str">
        <f>IFERROR(__xludf.DUMMYFUNCTION("""COMPUTED_VALUE"""),"It takes practice to understand DevOps concepts.")</f>
        <v>It takes practice to understand DevOps concepts.</v>
      </c>
      <c r="F67" s="7" t="s">
        <v>9</v>
      </c>
      <c r="G67" s="7"/>
    </row>
    <row r="68">
      <c r="A68" s="41">
        <v>105.0</v>
      </c>
      <c r="B68" s="36" t="s">
        <v>31</v>
      </c>
      <c r="C68" s="10" t="str">
        <f>IFERROR(__xludf.DUMMYFUNCTION("filter('Imported Recommendations'!B:D,'Imported Recommendations'!A:A=A68)"),"I usually study the subject to understand and then see the best way to explain that subject.")</f>
        <v>I usually study the subject to understand and then see the best way to explain that subject.</v>
      </c>
      <c r="D68" s="44" t="str">
        <f>IFERROR(__xludf.DUMMYFUNCTION("""COMPUTED_VALUE"""),"Study the subject thoroughly before preparing for classes.")</f>
        <v>Study the subject thoroughly before preparing for classes.</v>
      </c>
      <c r="E68" s="44"/>
      <c r="F68" s="7" t="s">
        <v>8</v>
      </c>
      <c r="G68" s="7"/>
    </row>
    <row r="69">
      <c r="A69" s="41">
        <v>108.0</v>
      </c>
      <c r="B69" s="36" t="s">
        <v>31</v>
      </c>
      <c r="C69" s="10" t="str">
        <f>IFERROR(__xludf.DUMMYFUNCTION("filter('Imported Recommendations'!B:D,'Imported Recommendations'!A:A=A69)"),"I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D69" s="44"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E69" s="44"/>
      <c r="F69" s="7" t="s">
        <v>9</v>
      </c>
      <c r="G69" s="7"/>
    </row>
    <row r="70">
      <c r="A70" s="41">
        <v>110.0</v>
      </c>
      <c r="B70" s="36" t="s">
        <v>31</v>
      </c>
      <c r="C70" s="10" t="str">
        <f>IFERROR(__xludf.DUMMYFUNCTION("filter('Imported Recommendations'!B:D,'Imported Recommendations'!A:A=A70)"),"Because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D70" s="44"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E70" s="44" t="str">
        <f>IFERROR(__xludf.DUMMYFUNCTION("""COMPUTED_VALUE"""),"Promote students' independent decision-making in the learning process.")</f>
        <v>Promote students' independent decision-making in the learning process.</v>
      </c>
      <c r="F70" s="7" t="s">
        <v>8</v>
      </c>
      <c r="G70" s="7"/>
    </row>
    <row r="71">
      <c r="A71" s="41">
        <v>111.0</v>
      </c>
      <c r="B71" s="36" t="s">
        <v>31</v>
      </c>
      <c r="C71" s="10" t="str">
        <f>IFERROR(__xludf.DUMMYFUNCTION("filter('Imported Recommendations'!B:D,'Imported Recommendations'!A:A=A71)"),"I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D71" s="44"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E71" s="44" t="str">
        <f>IFERROR(__xludf.DUMMYFUNCTION("""COMPUTED_VALUE"""),"Use other DevOps courses as a reference.
")</f>
        <v>Use other DevOps courses as a reference.
</v>
      </c>
      <c r="F71" s="7" t="s">
        <v>9</v>
      </c>
      <c r="G71" s="7"/>
    </row>
    <row r="72">
      <c r="A72" s="41">
        <v>113.0</v>
      </c>
      <c r="B72" s="36" t="s">
        <v>31</v>
      </c>
      <c r="C72" s="10" t="str">
        <f>IFERROR(__xludf.DUMMYFUNCTION("filter('Imported Recommendations'!B:D,'Imported Recommendations'!A:A=A72)"),"Today,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D72" s="44" t="str">
        <f>IFERROR(__xludf.DUMMYFUNCTION("""COMPUTED_VALUE"""),"Merge good practices of Problem-Based Learning (PBL), inverted class and Agile, through classroom experimentation.")</f>
        <v>Merge good practices of Problem-Based Learning (PBL), inverted class and Agile, through classroom experimentation.</v>
      </c>
      <c r="E72" s="44"/>
      <c r="F72" s="7" t="s">
        <v>8</v>
      </c>
      <c r="G72" s="7"/>
    </row>
    <row r="73">
      <c r="A73" s="32">
        <v>115.0</v>
      </c>
      <c r="B73" s="33" t="s">
        <v>31</v>
      </c>
      <c r="C73" s="10" t="str">
        <f>IFERROR(__xludf.DUMMYFUNCTION("filter('Imported Recommendations'!B:D,'Imported Recommendations'!A:A=A73)"),"And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D73" s="34"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E73" s="34" t="str">
        <f>IFERROR(__xludf.DUMMYFUNCTION("""COMPUTED_VALUE"""),"Do agile planning with sprints.")</f>
        <v>Do agile planning with sprints.</v>
      </c>
      <c r="F73" s="7" t="s">
        <v>8</v>
      </c>
      <c r="G73" s="7"/>
    </row>
    <row r="74">
      <c r="A74" s="32">
        <v>116.0</v>
      </c>
      <c r="B74" s="33" t="s">
        <v>31</v>
      </c>
      <c r="C74" s="10" t="str">
        <f>IFERROR(__xludf.DUMMYFUNCTION("filter('Imported Recommendations'!B:D,'Imported Recommendations'!A:A=A74)"),"Those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D74" s="34"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E74" s="34" t="str">
        <f>IFERROR(__xludf.DUMMYFUNCTION("""COMPUTED_VALUE"""),"Teach just enough of DevOps tools to get the students going so they can learn in the right context. ")</f>
        <v>Teach just enough of DevOps tools to get the students going so they can learn in the right context. </v>
      </c>
      <c r="F74" s="7" t="s">
        <v>9</v>
      </c>
      <c r="G74" s="7"/>
    </row>
    <row r="75">
      <c r="A75" s="32">
        <v>118.0</v>
      </c>
      <c r="B75" s="33" t="s">
        <v>31</v>
      </c>
      <c r="C75" s="10" t="str">
        <f>IFERROR(__xludf.DUMMYFUNCTION("filter('Imported Recommendations'!B:D,'Imported Recommendations'!A:A=A75)"),"I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D75" s="34"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E75" s="34" t="str">
        <f>IFERROR(__xludf.DUMMYFUNCTION("""COMPUTED_VALUE"""),"Don't give the solution right away.")</f>
        <v>Don't give the solution right away.</v>
      </c>
      <c r="F75" s="7" t="s">
        <v>9</v>
      </c>
      <c r="G75" s="7"/>
    </row>
    <row r="76">
      <c r="A76" s="32">
        <v>119.0</v>
      </c>
      <c r="B76" s="36" t="s">
        <v>31</v>
      </c>
      <c r="C76" s="10" t="str">
        <f>IFERROR(__xludf.DUMMYFUNCTION("filter('Imported Recommendations'!B:D,'Imported Recommendations'!A:A=A76)"),"I'll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D76" s="34"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E76" s="34"/>
      <c r="F76" s="7" t="s">
        <v>9</v>
      </c>
      <c r="G76" s="7"/>
    </row>
    <row r="77">
      <c r="A77" s="32">
        <v>121.0</v>
      </c>
      <c r="B77" s="33" t="s">
        <v>31</v>
      </c>
      <c r="C77" s="10" t="str">
        <f>IFERROR(__xludf.DUMMYFUNCTION("filter('Imported Recommendations'!B:D,'Imported Recommendations'!A:A=A77)"),"Do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D77" s="34" t="str">
        <f>IFERROR(__xludf.DUMMYFUNCTION("""COMPUTED_VALUE"""),"It'd be great if there was a Cloud course before DevOps course.
Prepare students with previous courses.")</f>
        <v>It'd be great if there was a Cloud course before DevOps course.
Prepare students with previous courses.</v>
      </c>
      <c r="E77" s="34" t="str">
        <f>IFERROR(__xludf.DUMMYFUNCTION("""COMPUTED_VALUE"""),"Prepare students with previous courses that teach related DevOps concepts.")</f>
        <v>Prepare students with previous courses that teach related DevOps concepts.</v>
      </c>
      <c r="F77" s="7" t="s">
        <v>8</v>
      </c>
      <c r="G77" s="7"/>
    </row>
    <row r="78">
      <c r="A78" s="32">
        <v>122.0</v>
      </c>
      <c r="B78" s="33" t="s">
        <v>31</v>
      </c>
      <c r="C78" s="10" t="str">
        <f>IFERROR(__xludf.DUMMYFUNCTION("filter('Imported Recommendations'!B:D,'Imported Recommendations'!A:A=A78)"),"so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D78" s="34" t="str">
        <f>IFERROR(__xludf.DUMMYFUNCTION("""COMPUTED_VALUE"""),"Use Linux operational system.")</f>
        <v>Use Linux operational system.</v>
      </c>
      <c r="E78" s="34"/>
      <c r="F78" s="7" t="s">
        <v>8</v>
      </c>
      <c r="G78" s="7"/>
    </row>
    <row r="79">
      <c r="A79" s="32">
        <v>124.0</v>
      </c>
      <c r="B79" s="33" t="s">
        <v>31</v>
      </c>
      <c r="C79" s="10" t="str">
        <f>IFERROR(__xludf.DUMMYFUNCTION("filter('Imported Recommendations'!B:D,'Imported Recommendations'!A:A=A79)"),"I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79" s="34"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E79" s="47" t="str">
        <f>IFERROR(__xludf.DUMMYFUNCTION("""COMPUTED_VALUE"""),"Docker can be chosen as DevOps tool.")</f>
        <v>Docker can be chosen as DevOps tool.</v>
      </c>
      <c r="F79" s="7" t="s">
        <v>9</v>
      </c>
      <c r="G79" s="7"/>
    </row>
    <row r="80">
      <c r="A80" s="32">
        <v>125.0</v>
      </c>
      <c r="B80" s="33" t="s">
        <v>31</v>
      </c>
      <c r="C80" s="10" t="str">
        <f>IFERROR(__xludf.DUMMYFUNCTION("filter('Imported Recommendations'!B:D,'Imported Recommendations'!A:A=A80)"),"We use selenium to, to work on the, uh, on the UI, as a browser.
We use Selenium for test automation.")</f>
        <v>We use selenium to, to work on the, uh, on the UI, as a browser.
We use Selenium for test automation.</v>
      </c>
      <c r="D80" s="34" t="str">
        <f>IFERROR(__xludf.DUMMYFUNCTION("""COMPUTED_VALUE"""),"Use Selenium to automate UI tests.
Use Selenium for test automation.")</f>
        <v>Use Selenium to automate UI tests.
Use Selenium for test automation.</v>
      </c>
      <c r="E80" s="34" t="str">
        <f>IFERROR(__xludf.DUMMYFUNCTION("""COMPUTED_VALUE"""),"Use Selenium for UI test automation.")</f>
        <v>Use Selenium for UI test automation.</v>
      </c>
      <c r="F80" s="7" t="s">
        <v>8</v>
      </c>
      <c r="G80" s="7"/>
    </row>
    <row r="81">
      <c r="A81" s="32">
        <v>127.0</v>
      </c>
      <c r="B81" s="33" t="s">
        <v>31</v>
      </c>
      <c r="C81" s="10" t="str">
        <f>IFERROR(__xludf.DUMMYFUNCTION("filter('Imported Recommendations'!B:D,'Imported Recommendations'!A:A=A81)"),"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D81" s="34" t="str">
        <f>IFERROR(__xludf.DUMMYFUNCTION("""COMPUTED_VALUE"""),"Argo CD is a more current continuous delivery tool than Jenkins.")</f>
        <v>Argo CD is a more current continuous delivery tool than Jenkins.</v>
      </c>
      <c r="E81" s="34"/>
      <c r="F81" s="7" t="s">
        <v>9</v>
      </c>
      <c r="G81" s="7"/>
    </row>
    <row r="82">
      <c r="A82" s="32">
        <v>128.0</v>
      </c>
      <c r="B82" s="33" t="s">
        <v>31</v>
      </c>
      <c r="C82" s="10" t="str">
        <f>IFERROR(__xludf.DUMMYFUNCTION("filter('Imported Recommendations'!B:D,'Imported Recommendations'!A:A=A82)"),"I'm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D82" s="34"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E82" s="34" t="str">
        <f>IFERROR(__xludf.DUMMYFUNCTION("""COMPUTED_VALUE"""),"Teach Kanban board.")</f>
        <v>Teach Kanban board.</v>
      </c>
      <c r="F82" s="7" t="s">
        <v>8</v>
      </c>
      <c r="G82" s="7"/>
    </row>
    <row r="83">
      <c r="A83" s="32">
        <v>130.0</v>
      </c>
      <c r="B83" s="33" t="s">
        <v>31</v>
      </c>
      <c r="C83" s="10" t="str">
        <f>IFERROR(__xludf.DUMMYFUNCTION("filter('Imported Recommendations'!B:D,'Imported Recommendations'!A:A=A83)"),"So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D83" s="34"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E83" s="34" t="str">
        <f>IFERROR(__xludf.DUMMYFUNCTION("""COMPUTED_VALUE"""),"Teacher assistence help students over managing questions.")</f>
        <v>Teacher assistence help students over managing questions.</v>
      </c>
      <c r="F83" s="7" t="s">
        <v>8</v>
      </c>
      <c r="G83" s="7"/>
    </row>
    <row r="84">
      <c r="A84" s="32">
        <v>131.0</v>
      </c>
      <c r="B84" s="33" t="s">
        <v>31</v>
      </c>
      <c r="C84" s="10" t="str">
        <f>IFERROR(__xludf.DUMMYFUNCTION("filter('Imported Recommendations'!B:D,'Imported Recommendations'!A:A=A84)"),"Then I give them two exams. So the team is 40% of their grade. The exams are 60% a midterm that's 30 and a, and a final that's 30.")</f>
        <v>Then I give them two exams. So the team is 40% of their grade. The exams are 60% a midterm that's 30 and a, and a final that's 30.</v>
      </c>
      <c r="D84" s="34" t="str">
        <f>IFERROR(__xludf.DUMMYFUNCTION("""COMPUTED_VALUE"""),"So the team is 40% of their grade. The exams are 60% a midterm that's 30 and a, and a final that's 30.")</f>
        <v>So the team is 40% of their grade. The exams are 60% a midterm that's 30 and a, and a final that's 30.</v>
      </c>
      <c r="E84" s="34"/>
      <c r="F84" s="7" t="s">
        <v>8</v>
      </c>
      <c r="G84" s="7"/>
    </row>
    <row r="85">
      <c r="A85" s="32">
        <v>133.0</v>
      </c>
      <c r="B85" s="36" t="s">
        <v>31</v>
      </c>
      <c r="C85" s="10" t="str">
        <f>IFERROR(__xludf.DUMMYFUNCTION("filter('Imported Recommendations'!B:D,'Imported Recommendations'!A:A=A85)"),"In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D85" s="34"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E85" s="34" t="str">
        <f>IFERROR(__xludf.DUMMYFUNCTION("""COMPUTED_VALUE"""),"Use quiz with multiple choices to assess the students.")</f>
        <v>Use quiz with multiple choices to assess the students.</v>
      </c>
      <c r="F85" s="7" t="s">
        <v>8</v>
      </c>
      <c r="G85" s="7"/>
    </row>
    <row r="86">
      <c r="A86" s="32">
        <v>134.0</v>
      </c>
      <c r="B86" s="33" t="s">
        <v>31</v>
      </c>
      <c r="C86" s="10" t="str">
        <f>IFERROR(__xludf.DUMMYFUNCTION("filter('Imported Recommendations'!B:D,'Imported Recommendations'!A:A=A86)"),"the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D86" s="34" t="str">
        <f>IFERROR(__xludf.DUMMYFUNCTION("""COMPUTED_VALUE"""),"Exams in remote class format are with the open book.")</f>
        <v>Exams in remote class format are with the open book.</v>
      </c>
      <c r="E86" s="34"/>
      <c r="F86" s="7" t="s">
        <v>8</v>
      </c>
      <c r="G86" s="7"/>
    </row>
    <row r="87">
      <c r="A87" s="32">
        <v>136.0</v>
      </c>
      <c r="B87" s="33" t="s">
        <v>31</v>
      </c>
      <c r="C87" s="10" t="str">
        <f>IFERROR(__xludf.DUMMYFUNCTION("filter('Imported Recommendations'!B:D,'Imported Recommendations'!A:A=A87)"),"we had cloud computing, where can easily stand up virtual machines for people and things like that.")</f>
        <v>we had cloud computing, where can easily stand up virtual machines for people and things like that.</v>
      </c>
      <c r="D87" s="34" t="str">
        <f>IFERROR(__xludf.DUMMYFUNCTION("""COMPUTED_VALUE"""),"Cloud computing make easier to stand up virtual machines.")</f>
        <v>Cloud computing make easier to stand up virtual machines.</v>
      </c>
      <c r="E87" s="34"/>
      <c r="F87" s="7" t="s">
        <v>8</v>
      </c>
      <c r="G87" s="7"/>
    </row>
    <row r="88">
      <c r="A88" s="32">
        <v>137.0</v>
      </c>
      <c r="B88" s="33" t="s">
        <v>31</v>
      </c>
      <c r="C88" s="10" t="str">
        <f>IFERROR(__xludf.DUMMYFUNCTION("filter('Imported Recommendations'!B:D,'Imported Recommendations'!A:A=A88)"),"People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D88" s="34"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E88" s="34" t="str">
        <f>IFERROR(__xludf.DUMMYFUNCTION("""COMPUTED_VALUE"""),"Continuous improvement is a key DevOps concept.")</f>
        <v>Continuous improvement is a key DevOps concept.</v>
      </c>
      <c r="F88" s="7" t="s">
        <v>9</v>
      </c>
      <c r="G88" s="7"/>
    </row>
    <row r="89">
      <c r="A89" s="32">
        <v>139.0</v>
      </c>
      <c r="B89" s="33" t="s">
        <v>31</v>
      </c>
      <c r="C89" s="10" t="str">
        <f>IFERROR(__xludf.DUMMYFUNCTION("filter('Imported Recommendations'!B:D,'Imported Recommendations'!A:A=A89)"),"I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D89" s="34" t="str">
        <f>IFERROR(__xludf.DUMMYFUNCTION("""COMPUTED_VALUE"""),"Use Github for academic use where you can set up GitHub classrooms.")</f>
        <v>Use Github for academic use where you can set up GitHub classrooms.</v>
      </c>
      <c r="E89" s="34"/>
      <c r="F89" s="7" t="s">
        <v>8</v>
      </c>
      <c r="G89" s="7"/>
    </row>
    <row r="90">
      <c r="A90" s="32">
        <v>140.0</v>
      </c>
      <c r="B90" s="36" t="s">
        <v>31</v>
      </c>
      <c r="C90" s="10" t="str">
        <f>IFERROR(__xludf.DUMMYFUNCTION("filter('Imported Recommendations'!B:D,'Imported Recommendations'!A:A=A90)"),"I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D90" s="34" t="str">
        <f>IFERROR(__xludf.DUMMYFUNCTION("""COMPUTED_VALUE"""),"Compare and contrast the tools before to choice.")</f>
        <v>Compare and contrast the tools before to choice.</v>
      </c>
      <c r="E90" s="34"/>
      <c r="F90" s="7" t="s">
        <v>8</v>
      </c>
      <c r="G90" s="7"/>
    </row>
    <row r="91">
      <c r="A91" s="32">
        <v>142.0</v>
      </c>
      <c r="B91" s="33" t="s">
        <v>31</v>
      </c>
      <c r="C91" s="10" t="str">
        <f>IFERROR(__xludf.DUMMYFUNCTION("filter('Imported Recommendations'!B:D,'Imported Recommendations'!A:A=A91)"),"I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D91" s="34" t="str">
        <f>IFERROR(__xludf.DUMMYFUNCTION("""COMPUTED_VALUE"""),"Show the evolution of the tools like exposing from ant and maven to gradle tool in build managment.")</f>
        <v>Show the evolution of the tools like exposing from ant and maven to gradle tool in build managment.</v>
      </c>
      <c r="E91" s="34"/>
      <c r="F91" s="7" t="s">
        <v>8</v>
      </c>
      <c r="G91" s="7"/>
    </row>
    <row r="92">
      <c r="A92" s="32">
        <v>143.0</v>
      </c>
      <c r="B92" s="33" t="s">
        <v>31</v>
      </c>
      <c r="C92" s="10" t="str">
        <f>IFERROR(__xludf.DUMMYFUNCTION("filter('Imported Recommendations'!B:D,'Imported Recommendations'!A:A=A92)"),"I'm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D92" s="34" t="str">
        <f>IFERROR(__xludf.DUMMYFUNCTION("""COMPUTED_VALUE"""),"separate the dev and ops part into different courses.")</f>
        <v>separate the dev and ops part into different courses.</v>
      </c>
      <c r="E92" s="34"/>
      <c r="F92" s="7" t="s">
        <v>9</v>
      </c>
      <c r="G92" s="7"/>
    </row>
    <row r="93">
      <c r="A93" s="32">
        <v>145.0</v>
      </c>
      <c r="B93" s="33" t="s">
        <v>31</v>
      </c>
      <c r="C93" s="10" t="str">
        <f>IFERROR(__xludf.DUMMYFUNCTION("filter('Imported Recommendations'!B:D,'Imported Recommendations'!A:A=A93)"),"I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D93" s="34"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E93" s="34"/>
      <c r="F93" s="7" t="s">
        <v>8</v>
      </c>
      <c r="G93" s="7"/>
    </row>
    <row r="94">
      <c r="A94" s="32">
        <v>146.0</v>
      </c>
      <c r="B94" s="33" t="s">
        <v>31</v>
      </c>
      <c r="C94" s="10" t="str">
        <f>IFERROR(__xludf.DUMMYFUNCTION("filter('Imported Recommendations'!B:D,'Imported Recommendations'!A:A=A94)"),"So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D94" s="34"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E94" s="34" t="str">
        <f>IFERROR(__xludf.DUMMYFUNCTION("""COMPUTED_VALUE"""),"Research small projects for the students.")</f>
        <v>Research small projects for the students.</v>
      </c>
      <c r="F94" s="7" t="s">
        <v>8</v>
      </c>
      <c r="G94" s="7"/>
    </row>
    <row r="95">
      <c r="A95" s="32">
        <v>148.0</v>
      </c>
      <c r="B95" s="33" t="s">
        <v>31</v>
      </c>
      <c r="C95" s="10" t="str">
        <f>IFERROR(__xludf.DUMMYFUNCTION("filter('Imported Recommendations'!B:D,'Imported Recommendations'!A:A=A95)"),"So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D95" s="34"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E95" s="34"/>
      <c r="F95" s="7" t="s">
        <v>8</v>
      </c>
      <c r="G95" s="7"/>
    </row>
    <row r="96">
      <c r="A96" s="32">
        <v>149.0</v>
      </c>
      <c r="B96" s="33" t="s">
        <v>31</v>
      </c>
      <c r="C96" s="10" t="str">
        <f>IFERROR(__xludf.DUMMYFUNCTION("filter('Imported Recommendations'!B:D,'Imported Recommendations'!A:A=A96)"),"Our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D96" s="34" t="str">
        <f>IFERROR(__xludf.DUMMYFUNCTION("""COMPUTED_VALUE"""),"Our curriculum allows some degree of freedom according to the teacher's preferences.")</f>
        <v>Our curriculum allows some degree of freedom according to the teacher's preferences.</v>
      </c>
      <c r="E96" s="34"/>
      <c r="F96" s="7" t="s">
        <v>8</v>
      </c>
      <c r="G96" s="7"/>
    </row>
    <row r="97">
      <c r="A97" s="32">
        <v>151.0</v>
      </c>
      <c r="B97" s="33" t="s">
        <v>31</v>
      </c>
      <c r="C97" s="10" t="str">
        <f>IFERROR(__xludf.DUMMYFUNCTION("filter('Imported Recommendations'!B:D,'Imported Recommendations'!A:A=A97)"),"So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D97" s="34"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E97" s="34" t="str">
        <f>IFERROR(__xludf.DUMMYFUNCTION("""COMPUTED_VALUE"""),"The courses of software architecture and DevOps taught together.")</f>
        <v>The courses of software architecture and DevOps taught together.</v>
      </c>
      <c r="F97" s="7" t="s">
        <v>9</v>
      </c>
      <c r="G97" s="7"/>
    </row>
    <row r="98">
      <c r="A98" s="32">
        <v>152.0</v>
      </c>
      <c r="B98" s="33" t="s">
        <v>31</v>
      </c>
      <c r="C98" s="10" t="str">
        <f>IFERROR(__xludf.DUMMYFUNCTION("filter('Imported Recommendations'!B:D,'Imported Recommendations'!A:A=A98)"),"And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D98" s="34" t="str">
        <f>IFERROR(__xludf.DUMMYFUNCTION("""COMPUTED_VALUE"""),"Show the operational constraints to students like coder will not get access to production environment.")</f>
        <v>Show the operational constraints to students like coder will not get access to production environment.</v>
      </c>
      <c r="E98" s="34"/>
      <c r="F98" s="7" t="s">
        <v>9</v>
      </c>
      <c r="G98" s="7"/>
    </row>
    <row r="99">
      <c r="A99" s="32">
        <v>154.0</v>
      </c>
      <c r="B99" s="33" t="s">
        <v>31</v>
      </c>
      <c r="C99" s="10" t="str">
        <f>IFERROR(__xludf.DUMMYFUNCTION("filter('Imported Recommendations'!B:D,'Imported Recommendations'!A:A=A99)"),"what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D99" s="34"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E99" s="34"/>
      <c r="F99" s="7" t="s">
        <v>8</v>
      </c>
      <c r="G99" s="7"/>
    </row>
    <row r="100">
      <c r="A100" s="32">
        <v>155.0</v>
      </c>
      <c r="B100" s="33" t="s">
        <v>31</v>
      </c>
      <c r="C100" s="10" t="str">
        <f>IFERROR(__xludf.DUMMYFUNCTION("filter('Imported Recommendations'!B:D,'Imported Recommendations'!A:A=A100)"),"In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D100" s="34"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100" s="34" t="str">
        <f>IFERROR(__xludf.DUMMYFUNCTION("""COMPUTED_VALUE"""),"Force students to use technology stack used on course.")</f>
        <v>Force students to use technology stack used on course.</v>
      </c>
      <c r="F100" s="7" t="s">
        <v>9</v>
      </c>
      <c r="G100" s="7"/>
    </row>
    <row r="101">
      <c r="A101" s="32">
        <v>157.0</v>
      </c>
      <c r="B101" s="33" t="s">
        <v>31</v>
      </c>
      <c r="C101" s="10" t="str">
        <f>IFERROR(__xludf.DUMMYFUNCTION("filter('Imported Recommendations'!B:D,'Imported Recommendations'!A:A=A101)"),"We've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D101" s="34"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E101" s="34" t="str">
        <f>IFERROR(__xludf.DUMMYFUNCTION("""COMPUTED_VALUE"""),"Make students prepare a presentation about topics related to DevOps.")</f>
        <v>Make students prepare a presentation about topics related to DevOps.</v>
      </c>
      <c r="F101" s="7" t="s">
        <v>9</v>
      </c>
      <c r="G101" s="7"/>
    </row>
    <row r="102">
      <c r="A102" s="32">
        <v>158.0</v>
      </c>
      <c r="B102" s="33" t="s">
        <v>31</v>
      </c>
      <c r="C102" s="10" t="str">
        <f>IFERROR(__xludf.DUMMYFUNCTION("filter('Imported Recommendations'!B:D,'Imported Recommendations'!A:A=A102)"),"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D102" s="37"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E102" s="34"/>
      <c r="F102" s="7" t="s">
        <v>8</v>
      </c>
      <c r="G102" s="7"/>
    </row>
    <row r="103">
      <c r="A103" s="32">
        <v>160.0</v>
      </c>
      <c r="B103" s="33" t="s">
        <v>31</v>
      </c>
      <c r="C103" s="10" t="str">
        <f>IFERROR(__xludf.DUMMYFUNCTION("filter('Imported Recommendations'!B:D,'Imported Recommendations'!A:A=A103)"),"we cannot make assumption on what they know. So we're trying to work without any assumption.
")</f>
        <v>we cannot make assumption on what they know. So we're trying to work without any assumption.
</v>
      </c>
      <c r="D103" s="34" t="str">
        <f>IFERROR(__xludf.DUMMYFUNCTION("""COMPUTED_VALUE"""),"Do not make assumption about the learning level of the students when you have students with different levels.")</f>
        <v>Do not make assumption about the learning level of the students when you have students with different levels.</v>
      </c>
      <c r="E103" s="34"/>
      <c r="F103" s="7" t="s">
        <v>8</v>
      </c>
      <c r="G103" s="7"/>
    </row>
    <row r="104">
      <c r="A104" s="32">
        <v>161.0</v>
      </c>
      <c r="B104" s="33" t="s">
        <v>31</v>
      </c>
      <c r="C104" s="10" t="str">
        <f>IFERROR(__xludf.DUMMYFUNCTION("filter('Imported Recommendations'!B:D,'Imported Recommendations'!A:A=A104)"),"We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104" s="34"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E104" s="34" t="str">
        <f>IFERROR(__xludf.DUMMYFUNCTION("""COMPUTED_VALUE"""),"Kubernetes can be chosen as DevOps tool.")</f>
        <v>Kubernetes can be chosen as DevOps tool.</v>
      </c>
      <c r="F104" s="7" t="s">
        <v>9</v>
      </c>
      <c r="G104" s="7"/>
    </row>
    <row r="105">
      <c r="A105" s="32">
        <v>163.0</v>
      </c>
      <c r="B105" s="33" t="s">
        <v>31</v>
      </c>
      <c r="C105" s="10" t="str">
        <f>IFERROR(__xludf.DUMMYFUNCTION("filter('Imported Recommendations'!B:D,'Imported Recommendations'!A:A=A105)"),"what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D105" s="34" t="str">
        <f>IFERROR(__xludf.DUMMYFUNCTION("""COMPUTED_VALUE"""),"Introduce a concept and do labs with creating DevOps pipeline, setup A/B tests, and automated tests.")</f>
        <v>Introduce a concept and do labs with creating DevOps pipeline, setup A/B tests, and automated tests.</v>
      </c>
      <c r="E105" s="34"/>
      <c r="F105" s="7" t="s">
        <v>9</v>
      </c>
      <c r="G105" s="7"/>
    </row>
    <row r="106">
      <c r="A106" s="32">
        <v>164.0</v>
      </c>
      <c r="B106" s="33" t="s">
        <v>31</v>
      </c>
      <c r="C106" s="10" t="str">
        <f>IFERROR(__xludf.DUMMYFUNCTION("filter('Imported Recommendations'!B:D,'Imported Recommendations'!A:A=A106)"),"The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D106" s="34"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E106" s="34" t="str">
        <f>IFERROR(__xludf.DUMMYFUNCTION("""COMPUTED_VALUE"""),"Students setting up their own DevOps environment.")</f>
        <v>Students setting up their own DevOps environment.</v>
      </c>
      <c r="F106" s="7" t="s">
        <v>9</v>
      </c>
      <c r="G106" s="7"/>
    </row>
    <row r="107">
      <c r="A107" s="32">
        <v>166.0</v>
      </c>
      <c r="B107" s="33" t="s">
        <v>31</v>
      </c>
      <c r="C107" s="10" t="str">
        <f>IFERROR(__xludf.DUMMYFUNCTION("filter('Imported Recommendations'!B:D,'Imported Recommendations'!A:A=A107)"),"for exam can be to use an open source application that we can use")</f>
        <v>for exam can be to use an open source application that we can use</v>
      </c>
      <c r="D107" s="34" t="str">
        <f>IFERROR(__xludf.DUMMYFUNCTION("""COMPUTED_VALUE"""),"For exam can be to use an open source application that we can use.")</f>
        <v>For exam can be to use an open source application that we can use.</v>
      </c>
      <c r="E107" s="34"/>
      <c r="F107" s="7" t="s">
        <v>8</v>
      </c>
      <c r="G107" s="7"/>
    </row>
    <row r="108">
      <c r="A108" s="32">
        <v>167.0</v>
      </c>
      <c r="B108" s="33" t="s">
        <v>31</v>
      </c>
      <c r="C108" s="10" t="str">
        <f>IFERROR(__xludf.DUMMYFUNCTION("filter('Imported Recommendations'!B:D,'Imported Recommendations'!A:A=A108)"),"we use also SonarQube to help us on the automation")</f>
        <v>we use also SonarQube to help us on the automation</v>
      </c>
      <c r="D108" s="34" t="str">
        <f>IFERROR(__xludf.DUMMYFUNCTION("""COMPUTED_VALUE"""),"Use SonarQube to help on the automation.")</f>
        <v>Use SonarQube to help on the automation.</v>
      </c>
      <c r="E108" s="34"/>
      <c r="F108" s="7" t="s">
        <v>9</v>
      </c>
      <c r="G108" s="7"/>
    </row>
    <row r="109">
      <c r="A109" s="32">
        <v>169.0</v>
      </c>
      <c r="B109" s="33" t="s">
        <v>31</v>
      </c>
      <c r="C109" s="10" t="str">
        <f>IFERROR(__xludf.DUMMYFUNCTION("filter('Imported Recommendations'!B:D,'Imported Recommendations'!A:A=A109)"),"we also security platform like, uh, Zap")</f>
        <v>we also security platform like, uh, Zap</v>
      </c>
      <c r="D109" s="34" t="str">
        <f>IFERROR(__xludf.DUMMYFUNCTION("""COMPUTED_VALUE"""),"Use OWASP Zap as security platform.")</f>
        <v>Use OWASP Zap as security platform.</v>
      </c>
      <c r="E109" s="34"/>
      <c r="F109" s="7" t="s">
        <v>8</v>
      </c>
      <c r="G109" s="7"/>
    </row>
    <row r="110">
      <c r="A110" s="32">
        <v>170.0</v>
      </c>
      <c r="B110" s="33" t="s">
        <v>31</v>
      </c>
      <c r="C110" s="10" t="str">
        <f>IFERROR(__xludf.DUMMYFUNCTION("filter('Imported Recommendations'!B:D,'Imported Recommendations'!A:A=A110)"),"So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D110" s="34" t="str">
        <f>IFERROR(__xludf.DUMMYFUNCTION("""COMPUTED_VALUE"""),"There are many free DevOps tools available.")</f>
        <v>There are many free DevOps tools available.</v>
      </c>
      <c r="E110" s="34"/>
      <c r="F110" s="7" t="s">
        <v>9</v>
      </c>
      <c r="G110" s="7"/>
    </row>
    <row r="111">
      <c r="A111" s="32">
        <v>172.0</v>
      </c>
      <c r="B111" s="33" t="s">
        <v>31</v>
      </c>
      <c r="C111" s="10" t="str">
        <f>IFERROR(__xludf.DUMMYFUNCTION("filter('Imported Recommendations'!B:D,'Imported Recommendations'!A:A=A111)"),"So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D111" s="34"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E111" s="34" t="str">
        <f>IFERROR(__xludf.DUMMYFUNCTION("""COMPUTED_VALUE"""),"Divide the course into 80% of concepts and 20% of applications.")</f>
        <v>Divide the course into 80% of concepts and 20% of applications.</v>
      </c>
      <c r="F111" s="7" t="s">
        <v>8</v>
      </c>
      <c r="G111" s="7"/>
    </row>
    <row r="112">
      <c r="A112" s="32">
        <v>173.0</v>
      </c>
      <c r="B112" s="33" t="s">
        <v>31</v>
      </c>
      <c r="C112" s="10" t="str">
        <f>IFERROR(__xludf.DUMMYFUNCTION("filter('Imported Recommendations'!B:D,'Imported Recommendations'!A:A=A112)"),"We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D112" s="34"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E112" s="34"/>
      <c r="F112" s="7" t="s">
        <v>8</v>
      </c>
      <c r="G112" s="7"/>
    </row>
    <row r="113">
      <c r="A113" s="32">
        <v>175.0</v>
      </c>
      <c r="B113" s="33" t="s">
        <v>31</v>
      </c>
      <c r="C113" s="10" t="str">
        <f>IFERROR(__xludf.DUMMYFUNCTION("filter('Imported Recommendations'!B:D,'Imported Recommendations'!A:A=A113)"),"I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D113" s="34" t="str">
        <f>IFERROR(__xludf.DUMMYFUNCTION("""COMPUTED_VALUE"""),"Qualified teacher assistant is important to setup the labs.
It is good to have teacher assistants with labs.")</f>
        <v>Qualified teacher assistant is important to setup the labs.
It is good to have teacher assistants with labs.</v>
      </c>
      <c r="E113" s="34" t="str">
        <f>IFERROR(__xludf.DUMMYFUNCTION("""COMPUTED_VALUE"""),"Teacher assistants are helpful with labs.")</f>
        <v>Teacher assistants are helpful with labs.</v>
      </c>
      <c r="F113" s="7" t="s">
        <v>8</v>
      </c>
      <c r="G113" s="7"/>
    </row>
    <row r="114">
      <c r="A114" s="32">
        <v>176.0</v>
      </c>
      <c r="B114" s="33" t="s">
        <v>31</v>
      </c>
      <c r="C114" s="10" t="str">
        <f>IFERROR(__xludf.DUMMYFUNCTION("filter('Imported Recommendations'!B:D,'Imported Recommendations'!A:A=A114)"),"the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D114" s="34" t="str">
        <f>IFERROR(__xludf.DUMMYFUNCTION("""COMPUTED_VALUE"""),"The Unicorn project book is a novel which covers the Dev side issues of DevOps.")</f>
        <v>The Unicorn project book is a novel which covers the Dev side issues of DevOps.</v>
      </c>
      <c r="E114" s="34"/>
      <c r="F114" s="7" t="s">
        <v>9</v>
      </c>
      <c r="G114" s="7"/>
    </row>
    <row r="115">
      <c r="A115" s="32">
        <v>178.0</v>
      </c>
      <c r="B115" s="33" t="s">
        <v>31</v>
      </c>
      <c r="C115" s="10" t="str">
        <f>IFERROR(__xludf.DUMMYFUNCTION("filter('Imported Recommendations'!B:D,'Imported Recommendations'!A:A=A115)"),"I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D115" s="34" t="str">
        <f>IFERROR(__xludf.DUMMYFUNCTION("""COMPUTED_VALUE"""),"The teacher assistants need to be very qualified.")</f>
        <v>The teacher assistants need to be very qualified.</v>
      </c>
      <c r="E115" s="34"/>
      <c r="F115" s="7" t="s">
        <v>8</v>
      </c>
      <c r="G115" s="7"/>
    </row>
    <row r="116">
      <c r="A116" s="32">
        <v>179.0</v>
      </c>
      <c r="B116" s="33" t="s">
        <v>31</v>
      </c>
      <c r="C116" s="10" t="str">
        <f>IFERROR(__xludf.DUMMYFUNCTION("filter('Imported Recommendations'!B:D,'Imported Recommendations'!A:A=A116)"),"So I chose, um, tuleap, which is an open source that was missing in mainly DevOps in France.")</f>
        <v>So I chose, um, tuleap, which is an open source that was missing in mainly DevOps in France.</v>
      </c>
      <c r="D116" s="34" t="str">
        <f>IFERROR(__xludf.DUMMYFUNCTION("""COMPUTED_VALUE"""),"Use Tuleap for lifecycle management.")</f>
        <v>Use Tuleap for lifecycle management.</v>
      </c>
      <c r="E116" s="34"/>
      <c r="F116" s="7" t="s">
        <v>9</v>
      </c>
      <c r="G116" s="7"/>
    </row>
    <row r="117">
      <c r="A117" s="32">
        <v>181.0</v>
      </c>
      <c r="B117" s="33" t="s">
        <v>31</v>
      </c>
      <c r="C117" s="10" t="str">
        <f>IFERROR(__xludf.DUMMYFUNCTION("filter('Imported Recommendations'!B:D,'Imported Recommendations'!A:A=A117)"),"initially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D117" s="34"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E117" s="34"/>
      <c r="F117" s="7" t="s">
        <v>8</v>
      </c>
      <c r="G117" s="7"/>
    </row>
    <row r="118">
      <c r="A118" s="32">
        <v>184.0</v>
      </c>
      <c r="B118" s="33" t="s">
        <v>31</v>
      </c>
      <c r="C118" s="10" t="str">
        <f>IFERROR(__xludf.DUMMYFUNCTION("filter('Imported Recommendations'!B:D,'Imported Recommendations'!A:A=A118)"),"I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D118" s="34"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E118" s="34" t="str">
        <f>IFERROR(__xludf.DUMMYFUNCTION("""COMPUTED_VALUE"""),"Use case studies in the exams.")</f>
        <v>Use case studies in the exams.</v>
      </c>
      <c r="F118" s="7" t="s">
        <v>8</v>
      </c>
      <c r="G118" s="7"/>
    </row>
    <row r="119">
      <c r="A119" s="32">
        <v>185.0</v>
      </c>
      <c r="B119" s="33" t="s">
        <v>31</v>
      </c>
      <c r="C119" s="10" t="str">
        <f>IFERROR(__xludf.DUMMYFUNCTION("filter('Imported Recommendations'!B:D,'Imported Recommendations'!A:A=A119)"),"we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D119" s="34"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E119" s="34"/>
      <c r="F119" s="7" t="s">
        <v>9</v>
      </c>
      <c r="G119" s="7"/>
    </row>
    <row r="120">
      <c r="A120" s="32">
        <v>187.0</v>
      </c>
      <c r="B120" s="33" t="s">
        <v>31</v>
      </c>
      <c r="C120" s="10" t="str">
        <f>IFERROR(__xludf.DUMMYFUNCTION("filter('Imported Recommendations'!B:D,'Imported Recommendations'!A:A=A120)"),"I'm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D120" s="34"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E120" s="34" t="str">
        <f>IFERROR(__xludf.DUMMYFUNCTION("""COMPUTED_VALUE"""),"Select industrial speakers carefully to share their experience with the students.")</f>
        <v>Select industrial speakers carefully to share their experience with the students.</v>
      </c>
      <c r="F120" s="7" t="s">
        <v>8</v>
      </c>
      <c r="G120" s="7"/>
    </row>
    <row r="121">
      <c r="A121" s="32">
        <v>188.0</v>
      </c>
      <c r="B121" s="33" t="s">
        <v>31</v>
      </c>
      <c r="C121" s="10" t="str">
        <f>IFERROR(__xludf.DUMMYFUNCTION("filter('Imported Recommendations'!B:D,'Imported Recommendations'!A:A=A121)"),"So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D121" s="34" t="str">
        <f>IFERROR(__xludf.DUMMYFUNCTION("""COMPUTED_VALUE"""),"It's important to communicate with students that DevOps is not buzzword, it is extremely serious.")</f>
        <v>It's important to communicate with students that DevOps is not buzzword, it is extremely serious.</v>
      </c>
      <c r="E121" s="34"/>
      <c r="F121" s="7" t="s">
        <v>9</v>
      </c>
      <c r="G121" s="7"/>
    </row>
    <row r="122">
      <c r="A122" s="32">
        <v>190.0</v>
      </c>
      <c r="B122" s="33" t="s">
        <v>31</v>
      </c>
      <c r="C122" s="10" t="str">
        <f>IFERROR(__xludf.DUMMYFUNCTION("filter('Imported Recommendations'!B:D,'Imported Recommendations'!A:A=A122)"),"So, uh, we didn't have some predefined, uh, projects, and as we can, yes, this was a bigger problem for us.")</f>
        <v>So, uh, we didn't have some predefined, uh, projects, and as we can, yes, this was a bigger problem for us.</v>
      </c>
      <c r="D122" s="37" t="str">
        <f>IFERROR(__xludf.DUMMYFUNCTION("""COMPUTED_VALUE"""),"Predefined project is important for the organization of the course.")</f>
        <v>Predefined project is important for the organization of the course.</v>
      </c>
      <c r="E122" s="34"/>
      <c r="F122" s="7" t="s">
        <v>8</v>
      </c>
      <c r="G122" s="7"/>
    </row>
    <row r="123">
      <c r="A123" s="32">
        <v>191.0</v>
      </c>
      <c r="B123" s="33" t="s">
        <v>31</v>
      </c>
      <c r="C123" s="10" t="str">
        <f>IFERROR(__xludf.DUMMYFUNCTION("filter('Imported Recommendations'!B:D,'Imported Recommendations'!A:A=A123)"),"In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D123" s="34"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E123" s="34"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F123" s="7" t="s">
        <v>8</v>
      </c>
      <c r="G123" s="7"/>
    </row>
    <row r="124">
      <c r="A124" s="32">
        <v>193.0</v>
      </c>
      <c r="B124" s="33" t="s">
        <v>31</v>
      </c>
      <c r="C124" s="10" t="str">
        <f>IFERROR(__xludf.DUMMYFUNCTION("filter('Imported Recommendations'!B:D,'Imported Recommendations'!A:A=A124)"),"if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D124" s="34" t="str">
        <f>IFERROR(__xludf.DUMMYFUNCTION("""COMPUTED_VALUE"""),"Teacher assistants help students with basics of DevOps concepts and tools.")</f>
        <v>Teacher assistants help students with basics of DevOps concepts and tools.</v>
      </c>
      <c r="E124" s="34"/>
      <c r="F124" s="7" t="s">
        <v>9</v>
      </c>
      <c r="G124" s="7"/>
    </row>
    <row r="125">
      <c r="A125" s="32">
        <v>194.0</v>
      </c>
      <c r="B125" s="33" t="s">
        <v>31</v>
      </c>
      <c r="C125" s="10" t="str">
        <f>IFERROR(__xludf.DUMMYFUNCTION("filter('Imported Recommendations'!B:D,'Imported Recommendations'!A:A=A125)"),"I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D125" s="34" t="str">
        <f>IFERROR(__xludf.DUMMYFUNCTION("""COMPUTED_VALUE"""),"Two months with four hours in each week is enough to students with some background about software engineering.")</f>
        <v>Two months with four hours in each week is enough to students with some background about software engineering.</v>
      </c>
      <c r="E125" s="34"/>
      <c r="F125" s="7" t="s">
        <v>9</v>
      </c>
      <c r="G125" s="7"/>
    </row>
    <row r="126">
      <c r="A126" s="32">
        <v>196.0</v>
      </c>
      <c r="B126" s="33" t="s">
        <v>31</v>
      </c>
      <c r="C126" s="10" t="str">
        <f>IFERROR(__xludf.DUMMYFUNCTION("filter('Imported Recommendations'!B:D,'Imported Recommendations'!A:A=A126)"),"So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D126" s="34" t="str">
        <f>IFERROR(__xludf.DUMMYFUNCTION("""COMPUTED_VALUE"""),"Constantly discuss and share the DevOps teaching in an open way.")</f>
        <v>Constantly discuss and share the DevOps teaching in an open way.</v>
      </c>
      <c r="E126" s="34"/>
      <c r="F126" s="7" t="s">
        <v>9</v>
      </c>
      <c r="G126" s="7"/>
    </row>
    <row r="127">
      <c r="A127" s="32">
        <v>197.0</v>
      </c>
      <c r="B127" s="33" t="s">
        <v>31</v>
      </c>
      <c r="C127" s="10" t="str">
        <f>IFERROR(__xludf.DUMMYFUNCTION("filter('Imported Recommendations'!B:D,'Imported Recommendations'!A:A=A127)"),"So this guy was really half time IBM and half time in the faculty of engineering.")</f>
        <v>So this guy was really half time IBM and half time in the faculty of engineering.</v>
      </c>
      <c r="D127" s="34" t="str">
        <f>IFERROR(__xludf.DUMMYFUNCTION("""COMPUTED_VALUE"""),"Teachers could be half time industrial and half time faculty.")</f>
        <v>Teachers could be half time industrial and half time faculty.</v>
      </c>
      <c r="E127" s="34"/>
      <c r="F127" s="7" t="s">
        <v>8</v>
      </c>
      <c r="G127" s="7"/>
    </row>
    <row r="128">
      <c r="A128" s="32">
        <v>199.0</v>
      </c>
      <c r="B128" s="33" t="s">
        <v>31</v>
      </c>
      <c r="C128" s="10" t="str">
        <f>IFERROR(__xludf.DUMMYFUNCTION("filter('Imported Recommendations'!B:D,'Imported Recommendations'!A:A=A128)"),"And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D128" s="34" t="str">
        <f>IFERROR(__xludf.DUMMYFUNCTION("""COMPUTED_VALUE"""),"DevOps course as elective course have students that wanted to learn about DevOps.")</f>
        <v>DevOps course as elective course have students that wanted to learn about DevOps.</v>
      </c>
      <c r="E128" s="34"/>
      <c r="F128" s="7" t="s">
        <v>9</v>
      </c>
      <c r="G128" s="7"/>
    </row>
    <row r="129">
      <c r="A129" s="32">
        <v>200.0</v>
      </c>
      <c r="B129" s="33" t="s">
        <v>31</v>
      </c>
      <c r="C129" s="10" t="str">
        <f>IFERROR(__xludf.DUMMYFUNCTION("filter('Imported Recommendations'!B:D,'Imported Recommendations'!A:A=A129)"),"what we've done was first to, um, continuously evaluate the teams are they were working on the project.")</f>
        <v>what we've done was first to, um, continuously evaluate the teams are they were working on the project.</v>
      </c>
      <c r="D129" s="34" t="str">
        <f>IFERROR(__xludf.DUMMYFUNCTION("""COMPUTED_VALUE"""),"Make a continuous evaluation of the projects of the students.")</f>
        <v>Make a continuous evaluation of the projects of the students.</v>
      </c>
      <c r="E129" s="34"/>
      <c r="F129" s="7" t="s">
        <v>8</v>
      </c>
      <c r="G129" s="7"/>
    </row>
  </sheetData>
  <dataValidations>
    <dataValidation type="list" allowBlank="1" sqref="F2:F129">
      <formula1>"yes,no"</formula1>
    </dataValidation>
  </dataValidations>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5.57"/>
    <col customWidth="1" min="2" max="2" width="18.0"/>
    <col customWidth="1" min="3" max="3" width="25.14"/>
    <col customWidth="1" min="4" max="4" width="98.43"/>
    <col customWidth="1" min="5" max="6" width="59.0"/>
    <col customWidth="1" min="7" max="7" width="16.71"/>
    <col customWidth="1" min="8" max="8" width="29.29"/>
    <col customWidth="1" min="9" max="9" width="16.71"/>
    <col customWidth="1" min="10" max="10" width="18.57"/>
    <col customWidth="1" min="11" max="11" width="16.0"/>
    <col customWidth="1" min="12" max="12" width="16.29"/>
    <col customWidth="1" min="13" max="13" width="16.71"/>
    <col customWidth="1" min="14" max="14" width="27.43"/>
  </cols>
  <sheetData>
    <row r="1">
      <c r="A1" s="1" t="s">
        <v>0</v>
      </c>
      <c r="B1" s="1" t="s">
        <v>15</v>
      </c>
      <c r="C1" s="1" t="s">
        <v>1</v>
      </c>
      <c r="D1" s="13" t="s">
        <v>2</v>
      </c>
      <c r="E1" s="13" t="s">
        <v>3</v>
      </c>
      <c r="F1" s="13" t="s">
        <v>4</v>
      </c>
      <c r="G1" s="4" t="s">
        <v>16</v>
      </c>
      <c r="H1" s="4" t="s">
        <v>17</v>
      </c>
      <c r="I1" s="14" t="s">
        <v>18</v>
      </c>
      <c r="J1" s="14" t="s">
        <v>19</v>
      </c>
      <c r="K1" s="48" t="s">
        <v>20</v>
      </c>
      <c r="L1" s="48" t="s">
        <v>21</v>
      </c>
      <c r="M1" s="48" t="s">
        <v>22</v>
      </c>
      <c r="N1" s="48" t="s">
        <v>23</v>
      </c>
    </row>
    <row r="2">
      <c r="A2" s="5">
        <v>1.0</v>
      </c>
      <c r="B2" s="6" t="s">
        <v>24</v>
      </c>
      <c r="C2" s="6" t="s">
        <v>31</v>
      </c>
      <c r="D2" s="5"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E2" s="5"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F2" s="5" t="str">
        <f>IFERROR(__xludf.DUMMYFUNCTION("""COMPUTED_VALUE"""),"Use cloud provider services with students plans.")</f>
        <v>Use cloud provider services with students plans.</v>
      </c>
      <c r="G2" s="7" t="s">
        <v>8</v>
      </c>
      <c r="H2" s="7"/>
      <c r="I2" s="15" t="s">
        <v>8</v>
      </c>
      <c r="J2" s="49"/>
      <c r="K2" s="4"/>
      <c r="L2" s="4"/>
      <c r="M2" s="4"/>
      <c r="N2" s="4"/>
    </row>
    <row r="3" ht="123.75" customHeight="1">
      <c r="A3" s="6">
        <v>2.0</v>
      </c>
      <c r="B3" s="6" t="s">
        <v>24</v>
      </c>
      <c r="C3" s="6" t="s">
        <v>31</v>
      </c>
      <c r="D3" s="5"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E3" s="5"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F3" s="5" t="str">
        <f>IFERROR(__xludf.DUMMYFUNCTION("""COMPUTED_VALUE"""),"Build scenarios that students can run on their own computer.")</f>
        <v>Build scenarios that students can run on their own computer.</v>
      </c>
      <c r="G3" s="7" t="s">
        <v>8</v>
      </c>
      <c r="H3" s="7"/>
      <c r="I3" s="15" t="s">
        <v>8</v>
      </c>
      <c r="J3" s="49"/>
      <c r="K3" s="4"/>
      <c r="L3" s="4"/>
      <c r="M3" s="4"/>
      <c r="N3" s="4"/>
    </row>
    <row r="4" ht="115.5" customHeight="1">
      <c r="A4" s="5">
        <v>4.0</v>
      </c>
      <c r="B4" s="6" t="s">
        <v>24</v>
      </c>
      <c r="C4" s="6" t="s">
        <v>31</v>
      </c>
      <c r="D4" s="5" t="str">
        <f>IFERROR(__xludf.DUMMYFUNCTION("filter('Imported Recommendations'!B:D,'Imported Recommendations'!A:A=A4)"),"This was somehow harmonized.")</f>
        <v>This was somehow harmonized.</v>
      </c>
      <c r="E4" s="5" t="str">
        <f>IFERROR(__xludf.DUMMYFUNCTION("""COMPUTED_VALUE"""),"Define what are the devops concepts.")</f>
        <v>Define what are the devops concepts.</v>
      </c>
      <c r="F4" s="5"/>
      <c r="G4" s="7" t="s">
        <v>9</v>
      </c>
      <c r="H4" s="7"/>
      <c r="I4" s="15" t="s">
        <v>9</v>
      </c>
      <c r="J4" s="50"/>
      <c r="K4" s="4"/>
      <c r="L4" s="4"/>
      <c r="M4" s="4"/>
      <c r="N4" s="4"/>
    </row>
    <row r="5">
      <c r="A5" s="5">
        <v>5.0</v>
      </c>
      <c r="B5" s="6" t="s">
        <v>24</v>
      </c>
      <c r="C5" s="6" t="s">
        <v>31</v>
      </c>
      <c r="D5" s="5"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E5" s="6"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F5" s="6" t="str">
        <f>IFERROR(__xludf.DUMMYFUNCTION("""COMPUTED_VALUE"""),"The assess should be with hands-on activity.")</f>
        <v>The assess should be with hands-on activity.</v>
      </c>
      <c r="G5" s="7" t="s">
        <v>9</v>
      </c>
      <c r="H5" s="7"/>
      <c r="I5" s="15" t="s">
        <v>9</v>
      </c>
      <c r="J5" s="49"/>
      <c r="K5" s="4"/>
      <c r="L5" s="4"/>
      <c r="M5" s="4"/>
      <c r="N5" s="4"/>
    </row>
    <row r="6" ht="221.25" customHeight="1">
      <c r="A6" s="5">
        <v>7.0</v>
      </c>
      <c r="B6" s="6" t="s">
        <v>24</v>
      </c>
      <c r="C6" s="6" t="s">
        <v>31</v>
      </c>
      <c r="D6" s="5" t="str">
        <f>IFERROR(__xludf.DUMMYFUNCTION("filter('Imported Recommendations'!B:D,'Imported Recommendations'!A:A=A6)"),"I think a potential candidate is GNS3.")</f>
        <v>I think a potential candidate is GNS3.</v>
      </c>
      <c r="E6" s="5" t="str">
        <f>IFERROR(__xludf.DUMMYFUNCTION("""COMPUTED_VALUE"""),"The GNS3 tool is a potential candidate as a tool for teaching DevOps.")</f>
        <v>The GNS3 tool is a potential candidate as a tool for teaching DevOps.</v>
      </c>
      <c r="F6" s="5"/>
      <c r="G6" s="7" t="s">
        <v>9</v>
      </c>
      <c r="H6" s="7"/>
      <c r="I6" s="15" t="s">
        <v>9</v>
      </c>
      <c r="J6" s="49"/>
      <c r="K6" s="4"/>
      <c r="L6" s="4"/>
      <c r="M6" s="4"/>
      <c r="N6" s="4"/>
    </row>
    <row r="7">
      <c r="A7" s="5">
        <v>8.0</v>
      </c>
      <c r="B7" s="6" t="s">
        <v>24</v>
      </c>
      <c r="C7" s="6" t="s">
        <v>31</v>
      </c>
      <c r="D7" s="5"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E7" s="5" t="str">
        <f>IFERROR(__xludf.DUMMYFUNCTION("""COMPUTED_VALUE"""),"Ansible as deployment automation tools can be used in teaching DevOps.")</f>
        <v>Ansible as deployment automation tools can be used in teaching DevOps.</v>
      </c>
      <c r="F7" s="5"/>
      <c r="G7" s="7" t="s">
        <v>9</v>
      </c>
      <c r="H7" s="7"/>
      <c r="I7" s="15" t="s">
        <v>9</v>
      </c>
      <c r="J7" s="49"/>
      <c r="K7" s="4"/>
      <c r="L7" s="4"/>
      <c r="M7" s="4"/>
      <c r="N7" s="4"/>
    </row>
    <row r="8">
      <c r="A8" s="5">
        <v>9.0</v>
      </c>
      <c r="B8" s="6" t="s">
        <v>24</v>
      </c>
      <c r="C8" s="6" t="s">
        <v>31</v>
      </c>
      <c r="D8" s="5"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E8" s="5"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F8" s="5" t="str">
        <f>IFERROR(__xludf.DUMMYFUNCTION("""COMPUTED_VALUE"""),"Teaching method based on practical activities.")</f>
        <v>Teaching method based on practical activities.</v>
      </c>
      <c r="G8" s="7" t="s">
        <v>8</v>
      </c>
      <c r="H8" s="7"/>
      <c r="I8" s="15" t="s">
        <v>8</v>
      </c>
      <c r="J8" s="49"/>
      <c r="K8" s="4"/>
      <c r="L8" s="4"/>
      <c r="M8" s="4"/>
      <c r="N8" s="4"/>
    </row>
    <row r="9" ht="134.25" customHeight="1">
      <c r="A9" s="5">
        <v>10.0</v>
      </c>
      <c r="B9" s="6" t="s">
        <v>24</v>
      </c>
      <c r="C9" s="6" t="s">
        <v>31</v>
      </c>
      <c r="D9" s="5"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E9" s="5"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F9" s="5" t="str">
        <f>IFERROR(__xludf.DUMMYFUNCTION("""COMPUTED_VALUE"""),"Focus more on the practical part compared to the theoretical part of DevOps.")</f>
        <v>Focus more on the practical part compared to the theoretical part of DevOps.</v>
      </c>
      <c r="G9" s="7" t="s">
        <v>9</v>
      </c>
      <c r="H9" s="7"/>
      <c r="I9" s="15" t="s">
        <v>9</v>
      </c>
      <c r="J9" s="49"/>
      <c r="K9" s="4"/>
      <c r="L9" s="4"/>
      <c r="M9" s="4"/>
      <c r="N9" s="4"/>
    </row>
    <row r="10">
      <c r="A10" s="5">
        <v>11.0</v>
      </c>
      <c r="B10" s="6" t="s">
        <v>24</v>
      </c>
      <c r="C10" s="6" t="s">
        <v>31</v>
      </c>
      <c r="D10" s="5"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E10" s="5"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F10" s="5" t="str">
        <f>IFERROR(__xludf.DUMMYFUNCTION("""COMPUTED_VALUE"""),"Divide the workload of subjects that are related to networking and programming.")</f>
        <v>Divide the workload of subjects that are related to networking and programming.</v>
      </c>
      <c r="G10" s="7" t="s">
        <v>9</v>
      </c>
      <c r="H10" s="7"/>
      <c r="I10" s="15" t="s">
        <v>9</v>
      </c>
      <c r="J10" s="49"/>
      <c r="K10" s="4"/>
      <c r="L10" s="4"/>
      <c r="M10" s="4"/>
      <c r="N10" s="4"/>
    </row>
    <row r="11">
      <c r="A11" s="5">
        <v>12.0</v>
      </c>
      <c r="B11" s="6" t="s">
        <v>24</v>
      </c>
      <c r="C11" s="6" t="s">
        <v>31</v>
      </c>
      <c r="D11" s="5"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E11" s="5"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F11" s="5" t="str">
        <f>IFERROR(__xludf.DUMMYFUNCTION("""COMPUTED_VALUE"""),"Delegate the responsibility for finding adequate infrastructure for the student.")</f>
        <v>Delegate the responsibility for finding adequate infrastructure for the student.</v>
      </c>
      <c r="G11" s="7" t="s">
        <v>8</v>
      </c>
      <c r="H11" s="4"/>
      <c r="I11" s="15" t="s">
        <v>8</v>
      </c>
      <c r="J11" s="49"/>
      <c r="K11" s="4"/>
      <c r="L11" s="4"/>
      <c r="M11" s="4"/>
      <c r="N11" s="4"/>
    </row>
    <row r="12">
      <c r="A12" s="5">
        <v>13.0</v>
      </c>
      <c r="B12" s="6" t="s">
        <v>24</v>
      </c>
      <c r="C12" s="6" t="s">
        <v>31</v>
      </c>
      <c r="D12" s="5"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E12" s="5"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F12" s="5" t="str">
        <f>IFERROR(__xludf.DUMMYFUNCTION("""COMPUTED_VALUE"""),"Use a textbook as a basis to guide the course classes.")</f>
        <v>Use a textbook as a basis to guide the course classes.</v>
      </c>
      <c r="G12" s="7" t="s">
        <v>8</v>
      </c>
      <c r="H12" s="7"/>
      <c r="I12" s="15" t="s">
        <v>8</v>
      </c>
      <c r="J12" s="49"/>
      <c r="K12" s="4"/>
      <c r="L12" s="4"/>
      <c r="M12" s="4"/>
      <c r="N12" s="4"/>
    </row>
    <row r="13">
      <c r="A13" s="5">
        <v>14.0</v>
      </c>
      <c r="B13" s="6" t="s">
        <v>24</v>
      </c>
      <c r="C13" s="6" t="s">
        <v>31</v>
      </c>
      <c r="D13" s="5"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E13" s="5" t="str">
        <f>IFERROR(__xludf.DUMMYFUNCTION("""COMPUTED_VALUE"""),"Work on improving students' skills related to non-functional requirements.")</f>
        <v>Work on improving students' skills related to non-functional requirements.</v>
      </c>
      <c r="F13" s="5"/>
      <c r="G13" s="7" t="s">
        <v>8</v>
      </c>
      <c r="H13" s="7"/>
      <c r="I13" s="15" t="s">
        <v>8</v>
      </c>
      <c r="J13" s="50"/>
      <c r="K13" s="4"/>
      <c r="L13" s="4"/>
      <c r="M13" s="4"/>
      <c r="N13" s="4"/>
    </row>
    <row r="14">
      <c r="A14" s="5">
        <v>15.0</v>
      </c>
      <c r="B14" s="6" t="s">
        <v>24</v>
      </c>
      <c r="C14" s="6" t="s">
        <v>31</v>
      </c>
      <c r="D14" s="5"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E14" s="5"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F14" s="5" t="str">
        <f>IFERROR(__xludf.DUMMYFUNCTION("""COMPUTED_VALUE"""),"Use a learning tool to easy the DevOps teaching.")</f>
        <v>Use a learning tool to easy the DevOps teaching.</v>
      </c>
      <c r="G14" s="7" t="s">
        <v>9</v>
      </c>
      <c r="H14" s="7"/>
      <c r="I14" s="15" t="s">
        <v>9</v>
      </c>
      <c r="J14" s="51"/>
      <c r="K14" s="4"/>
      <c r="L14" s="4"/>
      <c r="M14" s="4"/>
      <c r="N14" s="4"/>
    </row>
    <row r="15">
      <c r="A15" s="5">
        <v>16.0</v>
      </c>
      <c r="B15" s="6" t="s">
        <v>27</v>
      </c>
      <c r="C15" s="6" t="s">
        <v>31</v>
      </c>
      <c r="D15" s="5" t="str">
        <f>IFERROR(__xludf.DUMMYFUNCTION("filter('Imported Recommendations'!B:D,'Imported Recommendations'!A:A=A15)"),"The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E15" s="5"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F15" s="5" t="str">
        <f>IFERROR(__xludf.DUMMYFUNCTION("""COMPUTED_VALUE"""),"DevOps deserves a discipline in the curriculum.")</f>
        <v>DevOps deserves a discipline in the curriculum.</v>
      </c>
      <c r="G15" s="7" t="s">
        <v>9</v>
      </c>
      <c r="H15" s="7"/>
      <c r="I15" s="15" t="s">
        <v>9</v>
      </c>
      <c r="J15" s="52"/>
      <c r="K15" s="4"/>
      <c r="L15" s="4"/>
      <c r="M15" s="4"/>
      <c r="N15" s="4"/>
    </row>
    <row r="16">
      <c r="A16" s="5">
        <v>17.0</v>
      </c>
      <c r="B16" s="6" t="s">
        <v>24</v>
      </c>
      <c r="C16" s="6" t="s">
        <v>31</v>
      </c>
      <c r="D16" s="5" t="str">
        <f>IFERROR(__xludf.DUMMYFUNCTION("filter('Imported Recommendations'!B:D,'Imported Recommendations'!A:A=A16)"),"We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E16" s="5"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F16" s="5" t="str">
        <f>IFERROR(__xludf.DUMMYFUNCTION("""COMPUTED_VALUE"""),"Evaluate level of participation and difficulty of students in teamwork.")</f>
        <v>Evaluate level of participation and difficulty of students in teamwork.</v>
      </c>
      <c r="G16" s="7" t="s">
        <v>8</v>
      </c>
      <c r="H16" s="7"/>
      <c r="I16" s="15" t="s">
        <v>8</v>
      </c>
      <c r="J16" s="52"/>
      <c r="K16" s="4"/>
      <c r="L16" s="4"/>
      <c r="M16" s="4"/>
      <c r="N16" s="4"/>
    </row>
    <row r="17">
      <c r="A17" s="5">
        <v>18.0</v>
      </c>
      <c r="B17" s="6" t="s">
        <v>26</v>
      </c>
      <c r="C17" s="6" t="s">
        <v>31</v>
      </c>
      <c r="D17" s="5" t="str">
        <f>IFERROR(__xludf.DUMMYFUNCTION("filter('Imported Recommendations'!B:D,'Imported Recommendations'!A:A=A17)"),"We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E17" s="5" t="str">
        <f>IFERROR(__xludf.DUMMYFUNCTION("""COMPUTED_VALUE"""),"Monitoring of students through activities in a learning support environment.")</f>
        <v>Monitoring of students through activities in a learning support environment.</v>
      </c>
      <c r="F17" s="5"/>
      <c r="G17" s="7" t="s">
        <v>8</v>
      </c>
      <c r="H17" s="7"/>
      <c r="I17" s="15" t="s">
        <v>8</v>
      </c>
      <c r="J17" s="15"/>
      <c r="K17" s="4"/>
      <c r="L17" s="4"/>
      <c r="M17" s="4"/>
      <c r="N17" s="4"/>
    </row>
    <row r="18">
      <c r="A18" s="5">
        <v>19.0</v>
      </c>
      <c r="B18" s="6" t="s">
        <v>27</v>
      </c>
      <c r="C18" s="6" t="s">
        <v>31</v>
      </c>
      <c r="D18" s="5" t="str">
        <f>IFERROR(__xludf.DUMMYFUNCTION("filter('Imported Recommendations'!B:D,'Imported Recommendations'!A:A=A18)"),"Usually,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E18" s="5" t="str">
        <f>IFERROR(__xludf.DUMMYFUNCTION("""COMPUTED_VALUE"""),"Ask students to adopt the tools used by instructors.")</f>
        <v>Ask students to adopt the tools used by instructors.</v>
      </c>
      <c r="F18" s="5"/>
      <c r="G18" s="7" t="s">
        <v>8</v>
      </c>
      <c r="H18" s="7"/>
      <c r="I18" s="15" t="s">
        <v>8</v>
      </c>
      <c r="J18" s="49"/>
      <c r="K18" s="4"/>
      <c r="L18" s="4"/>
      <c r="M18" s="4"/>
      <c r="N18" s="4"/>
    </row>
    <row r="19">
      <c r="A19" s="5">
        <v>20.0</v>
      </c>
      <c r="B19" s="6" t="s">
        <v>24</v>
      </c>
      <c r="C19" s="6" t="s">
        <v>31</v>
      </c>
      <c r="D19" s="5" t="str">
        <f>IFERROR(__xludf.DUMMYFUNCTION("filter('Imported Recommendations'!B:D,'Imported Recommendations'!A:A=A19)"),"Suppose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E19" s="5"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F19" s="5"/>
      <c r="G19" s="7" t="s">
        <v>9</v>
      </c>
      <c r="H19" s="7"/>
      <c r="I19" s="15" t="s">
        <v>9</v>
      </c>
      <c r="J19" s="49"/>
      <c r="K19" s="4"/>
      <c r="L19" s="4"/>
      <c r="M19" s="4"/>
      <c r="N19" s="4"/>
    </row>
    <row r="20">
      <c r="A20" s="5">
        <v>21.0</v>
      </c>
      <c r="B20" s="6" t="s">
        <v>26</v>
      </c>
      <c r="C20" s="6" t="s">
        <v>31</v>
      </c>
      <c r="D20" s="5" t="str">
        <f>IFERROR(__xludf.DUMMYFUNCTION("filter('Imported Recommendations'!B:D,'Imported Recommendations'!A:A=A20)"),"They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E20" s="5"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F20" s="5" t="str">
        <f>IFERROR(__xludf.DUMMYFUNCTION("""COMPUTED_VALUE"""),"Teach social coding.")</f>
        <v>Teach social coding.</v>
      </c>
      <c r="G20" s="7" t="s">
        <v>8</v>
      </c>
      <c r="H20" s="7"/>
      <c r="I20" s="15" t="s">
        <v>8</v>
      </c>
      <c r="J20" s="15"/>
      <c r="K20" s="4"/>
      <c r="L20" s="4"/>
      <c r="M20" s="4"/>
      <c r="N20" s="4"/>
    </row>
    <row r="21" ht="106.5" customHeight="1">
      <c r="A21" s="5">
        <v>22.0</v>
      </c>
      <c r="B21" s="6" t="s">
        <v>27</v>
      </c>
      <c r="C21" s="6" t="s">
        <v>31</v>
      </c>
      <c r="D21" s="5" t="str">
        <f>IFERROR(__xludf.DUMMYFUNCTION("filter('Imported Recommendations'!B:D,'Imported Recommendations'!A:A=A21)"),"They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E21" s="5" t="str">
        <f>IFERROR(__xludf.DUMMYFUNCTION("""COMPUTED_VALUE"""),"Adopt a more professional approach in which teachers act as clients.")</f>
        <v>Adopt a more professional approach in which teachers act as clients.</v>
      </c>
      <c r="F21" s="5"/>
      <c r="G21" s="7" t="s">
        <v>8</v>
      </c>
      <c r="H21" s="9"/>
      <c r="I21" s="15" t="s">
        <v>8</v>
      </c>
      <c r="J21" s="49"/>
      <c r="K21" s="4" t="s">
        <v>25</v>
      </c>
      <c r="L21" s="4" t="s">
        <v>25</v>
      </c>
      <c r="M21" s="4"/>
      <c r="N21" s="4"/>
    </row>
    <row r="22">
      <c r="A22" s="5">
        <v>23.0</v>
      </c>
      <c r="B22" s="6" t="s">
        <v>24</v>
      </c>
      <c r="C22" s="6" t="s">
        <v>31</v>
      </c>
      <c r="D22" s="5" t="str">
        <f>IFERROR(__xludf.DUMMYFUNCTION("filter('Imported Recommendations'!B:D,'Imported Recommendations'!A:A=A22)"),"The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E22" s="5" t="str">
        <f>IFERROR(__xludf.DUMMYFUNCTION("""COMPUTED_VALUE"""),"The Continuous Integration and industry tools must be in the curricula.")</f>
        <v>The Continuous Integration and industry tools must be in the curricula.</v>
      </c>
      <c r="F22" s="5"/>
      <c r="G22" s="7" t="s">
        <v>9</v>
      </c>
      <c r="H22" s="7"/>
      <c r="I22" s="15" t="s">
        <v>9</v>
      </c>
      <c r="J22" s="49"/>
      <c r="K22" s="4"/>
      <c r="L22" s="4"/>
      <c r="M22" s="4"/>
      <c r="N22" s="4"/>
    </row>
    <row r="23">
      <c r="A23" s="53">
        <v>24.0</v>
      </c>
      <c r="B23" s="27" t="s">
        <v>27</v>
      </c>
      <c r="C23" s="27" t="s">
        <v>31</v>
      </c>
      <c r="D23" s="5" t="str">
        <f>IFERROR(__xludf.DUMMYFUNCTION("filter('Imported Recommendations'!B:D,'Imported Recommendations'!A:A=A23)"),"But as there isn't, we find different materials; we have several publications.")</f>
        <v>But as there isn't, we find different materials; we have several publications.</v>
      </c>
      <c r="E23" s="53"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F23" s="53"/>
      <c r="G23" s="7" t="s">
        <v>8</v>
      </c>
      <c r="H23" s="7"/>
      <c r="I23" s="15" t="s">
        <v>8</v>
      </c>
      <c r="J23" s="49"/>
      <c r="K23" s="4"/>
      <c r="L23" s="4"/>
      <c r="M23" s="4"/>
      <c r="N23" s="4"/>
    </row>
    <row r="24">
      <c r="A24" s="53">
        <v>25.0</v>
      </c>
      <c r="B24" s="27" t="s">
        <v>27</v>
      </c>
      <c r="C24" s="27" t="s">
        <v>31</v>
      </c>
      <c r="D24" s="5" t="str">
        <f>IFERROR(__xludf.DUMMYFUNCTION("filter('Imported Recommendations'!B:D,'Imported Recommendations'!A:A=A24)"),"[...]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E24" s="53"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F24" s="53"/>
      <c r="G24" s="7" t="s">
        <v>8</v>
      </c>
      <c r="H24" s="7"/>
      <c r="I24" s="15" t="s">
        <v>8</v>
      </c>
      <c r="J24" s="49"/>
      <c r="K24" s="4"/>
      <c r="L24" s="4"/>
      <c r="M24" s="4"/>
      <c r="N24" s="4"/>
    </row>
    <row r="25">
      <c r="A25" s="6">
        <v>26.0</v>
      </c>
      <c r="B25" s="6" t="s">
        <v>24</v>
      </c>
      <c r="C25" s="6" t="s">
        <v>31</v>
      </c>
      <c r="D25" s="5" t="str">
        <f>IFERROR(__xludf.DUMMYFUNCTION("filter('Imported Recommendations'!B:D,'Imported Recommendations'!A:A=A25)"),"The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E25" s="5" t="str">
        <f>IFERROR(__xludf.DUMMYFUNCTION("""COMPUTED_VALUE"""),"You can use the same discipline of DevOps for operation groups focused on safety and development groups.")</f>
        <v>You can use the same discipline of DevOps for operation groups focused on safety and development groups.</v>
      </c>
      <c r="F25" s="5"/>
      <c r="G25" s="7" t="s">
        <v>9</v>
      </c>
      <c r="H25" s="7"/>
      <c r="I25" s="15" t="s">
        <v>9</v>
      </c>
      <c r="J25" s="49"/>
      <c r="K25" s="4"/>
      <c r="L25" s="4"/>
      <c r="M25" s="4"/>
      <c r="N25" s="4"/>
    </row>
    <row r="26">
      <c r="A26" s="53">
        <v>27.0</v>
      </c>
      <c r="B26" s="6" t="s">
        <v>26</v>
      </c>
      <c r="C26" s="27" t="s">
        <v>31</v>
      </c>
      <c r="D26" s="5" t="str">
        <f>IFERROR(__xludf.DUMMYFUNCTION("filter('Imported Recommendations'!B:D,'Imported Recommendations'!A:A=A26)"),"In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E26" s="53" t="str">
        <f>IFERROR(__xludf.DUMMYFUNCTION("""COMPUTED_VALUE"""),"Teach the part of cloud vulnerability, architecture, and network management to the security classes in DevOps.")</f>
        <v>Teach the part of cloud vulnerability, architecture, and network management to the security classes in DevOps.</v>
      </c>
      <c r="F26" s="53"/>
      <c r="G26" s="7" t="s">
        <v>9</v>
      </c>
      <c r="H26" s="7"/>
      <c r="I26" s="15" t="s">
        <v>9</v>
      </c>
      <c r="J26" s="49"/>
      <c r="K26" s="4"/>
      <c r="L26" s="4"/>
      <c r="M26" s="4"/>
      <c r="N26" s="4"/>
    </row>
    <row r="27">
      <c r="A27" s="6">
        <v>29.0</v>
      </c>
      <c r="B27" s="6" t="s">
        <v>24</v>
      </c>
      <c r="C27" s="6" t="s">
        <v>31</v>
      </c>
      <c r="D27" s="5" t="str">
        <f>IFERROR(__xludf.DUMMYFUNCTION("filter('Imported Recommendations'!B:D,'Imported Recommendations'!A:A=A27)"),"The recommendation is to understand the learning context of the class.
Adapt the menu according to the student profile you have.")</f>
        <v>The recommendation is to understand the learning context of the class.
Adapt the menu according to the student profile you have.</v>
      </c>
      <c r="E27" s="5" t="str">
        <f>IFERROR(__xludf.DUMMYFUNCTION("""COMPUTED_VALUE"""),"Identify the most compatible DevOps scope for each class.
Adapt the course according to the profile of students.")</f>
        <v>Identify the most compatible DevOps scope for each class.
Adapt the course according to the profile of students.</v>
      </c>
      <c r="F27" s="5" t="str">
        <f>IFERROR(__xludf.DUMMYFUNCTION("""COMPUTED_VALUE"""),"Identify the most compatible DevOps scope for each class.")</f>
        <v>Identify the most compatible DevOps scope for each class.</v>
      </c>
      <c r="G27" s="7" t="s">
        <v>9</v>
      </c>
      <c r="H27" s="31"/>
      <c r="I27" s="15" t="s">
        <v>9</v>
      </c>
      <c r="J27" s="49"/>
      <c r="K27" s="4" t="s">
        <v>25</v>
      </c>
      <c r="L27" s="4" t="s">
        <v>25</v>
      </c>
      <c r="M27" s="4"/>
      <c r="N27" s="4"/>
    </row>
    <row r="28">
      <c r="A28" s="53">
        <v>30.0</v>
      </c>
      <c r="B28" s="6" t="s">
        <v>26</v>
      </c>
      <c r="C28" s="27" t="s">
        <v>31</v>
      </c>
      <c r="D28" s="5" t="str">
        <f>IFERROR(__xludf.DUMMYFUNCTION("filter('Imported Recommendations'!B:D,'Imported Recommendations'!A:A=A28)"),"Having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E28" s="53"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F28" s="53" t="str">
        <f>IFERROR(__xludf.DUMMYFUNCTION("""COMPUTED_VALUE"""),"Teach using examples.")</f>
        <v>Teach using examples.</v>
      </c>
      <c r="G28" s="7" t="s">
        <v>8</v>
      </c>
      <c r="H28" s="7"/>
      <c r="I28" s="15" t="s">
        <v>8</v>
      </c>
      <c r="J28" s="49"/>
      <c r="K28" s="4"/>
      <c r="L28" s="4"/>
      <c r="M28" s="4"/>
      <c r="N28" s="4"/>
    </row>
    <row r="29">
      <c r="A29" s="6">
        <v>32.0</v>
      </c>
      <c r="B29" s="6" t="s">
        <v>24</v>
      </c>
      <c r="C29" s="6" t="s">
        <v>31</v>
      </c>
      <c r="D29" s="5" t="str">
        <f>IFERROR(__xludf.DUMMYFUNCTION("filter('Imported Recommendations'!B:D,'Imported Recommendations'!A:A=A29)"),"Present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E29" s="5"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F29" s="5" t="str">
        <f>IFERROR(__xludf.DUMMYFUNCTION("""COMPUTED_VALUE"""),"Introduce well-established concepts by the DevOps community, such as the DevOps pipeline process.")</f>
        <v>Introduce well-established concepts by the DevOps community, such as the DevOps pipeline process.</v>
      </c>
      <c r="G29" s="7" t="s">
        <v>9</v>
      </c>
      <c r="H29" s="7"/>
      <c r="I29" s="15" t="s">
        <v>9</v>
      </c>
      <c r="J29" s="49"/>
      <c r="K29" s="4"/>
      <c r="L29" s="4"/>
      <c r="M29" s="4"/>
      <c r="N29" s="4"/>
    </row>
    <row r="30">
      <c r="A30" s="53">
        <v>33.0</v>
      </c>
      <c r="B30" s="6" t="s">
        <v>26</v>
      </c>
      <c r="C30" s="27" t="s">
        <v>31</v>
      </c>
      <c r="D30" s="5" t="str">
        <f>IFERROR(__xludf.DUMMYFUNCTION("filter('Imported Recommendations'!B:D,'Imported Recommendations'!A:A=A30)"),"Present [...] cases on how this translates, [...] eliminating the silos between operations and development.")</f>
        <v>Present [...] cases on how this translates, [...] eliminating the silos between operations and development.</v>
      </c>
      <c r="E30" s="53"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F30" s="53" t="str">
        <f>IFERROR(__xludf.DUMMYFUNCTION("""COMPUTED_VALUE"""),"Show use cases of DevOps.")</f>
        <v>Show use cases of DevOps.</v>
      </c>
      <c r="G30" s="7" t="s">
        <v>9</v>
      </c>
      <c r="H30" s="7"/>
      <c r="I30" s="15" t="s">
        <v>9</v>
      </c>
      <c r="J30" s="49"/>
      <c r="K30" s="4"/>
      <c r="L30" s="4"/>
      <c r="M30" s="4"/>
      <c r="N30" s="4"/>
    </row>
    <row r="31">
      <c r="A31" s="6">
        <v>34.0</v>
      </c>
      <c r="B31" s="6" t="s">
        <v>27</v>
      </c>
      <c r="C31" s="6" t="s">
        <v>31</v>
      </c>
      <c r="D31" s="10" t="str">
        <f>IFERROR(__xludf.DUMMYFUNCTION("filter('Imported Recommendations'!B:D,'Imported Recommendations'!A:A=A31)"),"Always start with culture before moving on to teaching or tool-based demonstration.")</f>
        <v>Always start with culture before moving on to teaching or tool-based demonstration.</v>
      </c>
      <c r="E31" s="10" t="str">
        <f>IFERROR(__xludf.DUMMYFUNCTION("""COMPUTED_VALUE"""),"Start teaching DevOps from the culture. Only then demonstrate with tools.")</f>
        <v>Start teaching DevOps from the culture. Only then demonstrate with tools.</v>
      </c>
      <c r="F31" s="10"/>
      <c r="G31" s="7" t="s">
        <v>9</v>
      </c>
      <c r="H31" s="7"/>
      <c r="I31" s="15" t="s">
        <v>9</v>
      </c>
      <c r="J31" s="49"/>
      <c r="K31" s="4"/>
      <c r="L31" s="4"/>
      <c r="M31" s="4"/>
      <c r="N31" s="4"/>
    </row>
    <row r="32">
      <c r="A32" s="6">
        <v>35.0</v>
      </c>
      <c r="B32" s="6" t="s">
        <v>24</v>
      </c>
      <c r="C32" s="6" t="s">
        <v>31</v>
      </c>
      <c r="D32" s="10" t="str">
        <f>IFERROR(__xludf.DUMMYFUNCTION("filter('Imported Recommendations'!B:D,'Imported Recommendations'!A:A=A32)"),"Build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E32" s="5"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F32" s="5" t="str">
        <f>IFERROR(__xludf.DUMMYFUNCTION("""COMPUTED_VALUE"""),"Delimit a specific set of tools to build a scenario.")</f>
        <v>Delimit a specific set of tools to build a scenario.</v>
      </c>
      <c r="G32" s="7" t="s">
        <v>8</v>
      </c>
      <c r="H32" s="54"/>
      <c r="I32" s="15" t="s">
        <v>8</v>
      </c>
      <c r="J32" s="49"/>
      <c r="K32" s="4" t="s">
        <v>25</v>
      </c>
      <c r="L32" s="4"/>
      <c r="M32" s="4" t="s">
        <v>29</v>
      </c>
      <c r="N32" s="4"/>
    </row>
    <row r="33">
      <c r="A33" s="53">
        <v>36.0</v>
      </c>
      <c r="B33" s="6" t="s">
        <v>26</v>
      </c>
      <c r="C33" s="27" t="s">
        <v>31</v>
      </c>
      <c r="D33" s="10" t="str">
        <f>IFERROR(__xludf.DUMMYFUNCTION("filter('Imported Recommendations'!B:D,'Imported Recommendations'!A:A=A33)"),"If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E33" s="53"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F33" s="53" t="str">
        <f>IFERROR(__xludf.DUMMYFUNCTION("""COMPUTED_VALUE"""),"Use cloud provider services.")</f>
        <v>Use cloud provider services.</v>
      </c>
      <c r="G33" s="7" t="s">
        <v>8</v>
      </c>
      <c r="H33" s="7"/>
      <c r="I33" s="15" t="s">
        <v>8</v>
      </c>
      <c r="J33" s="49"/>
      <c r="K33" s="4"/>
      <c r="L33" s="4"/>
      <c r="M33" s="4"/>
      <c r="N33" s="4"/>
    </row>
    <row r="34">
      <c r="A34" s="6">
        <v>37.0</v>
      </c>
      <c r="B34" s="6" t="s">
        <v>27</v>
      </c>
      <c r="C34" s="6" t="s">
        <v>31</v>
      </c>
      <c r="D34" s="5" t="str">
        <f>IFERROR(__xludf.DUMMYFUNCTION("filter('Imported Recommendations'!B:D,'Imported Recommendations'!A:A=A34)"),"Put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E34" s="5"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F34" s="5" t="str">
        <f>IFERROR(__xludf.DUMMYFUNCTION("""COMPUTED_VALUE"""),"Promotes discussions about DevOps concepts and related issues.")</f>
        <v>Promotes discussions about DevOps concepts and related issues.</v>
      </c>
      <c r="G34" s="7" t="s">
        <v>8</v>
      </c>
      <c r="H34" s="7"/>
      <c r="I34" s="15" t="s">
        <v>8</v>
      </c>
      <c r="J34" s="49"/>
      <c r="K34" s="4"/>
      <c r="L34" s="4"/>
      <c r="M34" s="4"/>
      <c r="N34" s="4"/>
    </row>
    <row r="35">
      <c r="A35" s="6">
        <v>38.0</v>
      </c>
      <c r="B35" s="6" t="s">
        <v>24</v>
      </c>
      <c r="C35" s="6" t="s">
        <v>31</v>
      </c>
      <c r="D35" s="5" t="str">
        <f>IFERROR(__xludf.DUMMYFUNCTION("filter('Imported Recommendations'!B:D,'Imported Recommendations'!A:A=A35)"),"This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E35" s="5"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F35" s="5"/>
      <c r="G35" s="7" t="s">
        <v>9</v>
      </c>
      <c r="H35" s="31"/>
      <c r="I35" s="15" t="s">
        <v>9</v>
      </c>
      <c r="J35" s="49"/>
      <c r="K35" s="4" t="s">
        <v>25</v>
      </c>
      <c r="L35" s="4" t="s">
        <v>25</v>
      </c>
      <c r="M35" s="4"/>
      <c r="N35" s="4"/>
    </row>
    <row r="36">
      <c r="A36" s="53">
        <v>39.0</v>
      </c>
      <c r="B36" s="6" t="s">
        <v>26</v>
      </c>
      <c r="C36" s="27" t="s">
        <v>31</v>
      </c>
      <c r="D36" s="5" t="str">
        <f>IFERROR(__xludf.DUMMYFUNCTION("filter('Imported Recommendations'!B:D,'Imported Recommendations'!A:A=A36)"),"This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E36" s="53" t="str">
        <f>IFERROR(__xludf.DUMMYFUNCTION("""COMPUTED_VALUE"""),"Half of the curriculum with DevOps concepts/culture. Half the curriculum with tools.")</f>
        <v>Half of the curriculum with DevOps concepts/culture. Half the curriculum with tools.</v>
      </c>
      <c r="F36" s="53"/>
      <c r="G36" s="7" t="s">
        <v>9</v>
      </c>
      <c r="H36" s="7"/>
      <c r="I36" s="15" t="s">
        <v>9</v>
      </c>
      <c r="J36" s="49"/>
      <c r="K36" s="4"/>
      <c r="L36" s="4"/>
      <c r="M36" s="4"/>
      <c r="N36" s="4"/>
    </row>
    <row r="37">
      <c r="A37" s="6">
        <v>40.0</v>
      </c>
      <c r="B37" s="6" t="s">
        <v>27</v>
      </c>
      <c r="C37" s="6" t="s">
        <v>31</v>
      </c>
      <c r="D37" s="5" t="str">
        <f>IFERROR(__xludf.DUMMYFUNCTION("filter('Imported Recommendations'!B:D,'Imported Recommendations'!A:A=A37)"),"For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E37" s="5"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F37" s="5"/>
      <c r="G37" s="7" t="s">
        <v>9</v>
      </c>
      <c r="H37" s="7"/>
      <c r="I37" s="15" t="s">
        <v>9</v>
      </c>
      <c r="J37" s="49"/>
      <c r="K37" s="4"/>
      <c r="L37" s="4"/>
      <c r="M37" s="4"/>
      <c r="N37" s="4"/>
    </row>
    <row r="38">
      <c r="A38" s="6">
        <v>41.0</v>
      </c>
      <c r="B38" s="6" t="s">
        <v>24</v>
      </c>
      <c r="C38" s="6" t="s">
        <v>31</v>
      </c>
      <c r="D38" s="10" t="str">
        <f>IFERROR(__xludf.DUMMYFUNCTION("filter('Imported Recommendations'!B:D,'Imported Recommendations'!A:A=A38)"),"Always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E38" s="10"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F38" s="10" t="str">
        <f>IFERROR(__xludf.DUMMYFUNCTION("""COMPUTED_VALUE"""),"Teach the DevOps mindset.")</f>
        <v>Teach the DevOps mindset.</v>
      </c>
      <c r="G38" s="7" t="s">
        <v>9</v>
      </c>
      <c r="H38" s="7"/>
      <c r="I38" s="15" t="s">
        <v>9</v>
      </c>
      <c r="J38" s="49"/>
      <c r="K38" s="4"/>
      <c r="L38" s="4"/>
      <c r="M38" s="4"/>
      <c r="N38" s="4"/>
    </row>
    <row r="39">
      <c r="A39" s="6">
        <v>43.0</v>
      </c>
      <c r="B39" s="6" t="s">
        <v>27</v>
      </c>
      <c r="C39" s="6" t="s">
        <v>31</v>
      </c>
      <c r="D39" s="5" t="str">
        <f>IFERROR(__xludf.DUMMYFUNCTION("filter('Imported Recommendations'!B:D,'Imported Recommendations'!A:A=A39)"),"And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E39" s="5"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F39" s="5" t="str">
        <f>IFERROR(__xludf.DUMMYFUNCTION("""COMPUTED_VALUE"""),"Customize the teaching based on students background.")</f>
        <v>Customize the teaching based on students background.</v>
      </c>
      <c r="G39" s="7" t="s">
        <v>8</v>
      </c>
      <c r="H39" s="7"/>
      <c r="I39" s="15" t="s">
        <v>8</v>
      </c>
      <c r="J39" s="49"/>
      <c r="K39" s="4"/>
      <c r="L39" s="4"/>
      <c r="M39" s="4"/>
      <c r="N39" s="4"/>
    </row>
    <row r="40">
      <c r="A40" s="6">
        <v>44.0</v>
      </c>
      <c r="B40" s="6" t="s">
        <v>24</v>
      </c>
      <c r="C40" s="6" t="s">
        <v>31</v>
      </c>
      <c r="D40" s="5" t="str">
        <f>IFERROR(__xludf.DUMMYFUNCTION("filter('Imported Recommendations'!B:D,'Imported Recommendations'!A:A=A40)"),"Nor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E40" s="5"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F40" s="5"/>
      <c r="G40" s="7" t="s">
        <v>8</v>
      </c>
      <c r="H40" s="7"/>
      <c r="I40" s="15" t="s">
        <v>8</v>
      </c>
      <c r="J40" s="49"/>
      <c r="K40" s="4"/>
      <c r="L40" s="4"/>
      <c r="M40" s="4"/>
      <c r="N40" s="4"/>
    </row>
    <row r="41">
      <c r="A41" s="53">
        <v>45.0</v>
      </c>
      <c r="B41" s="6" t="s">
        <v>26</v>
      </c>
      <c r="C41" s="27" t="s">
        <v>31</v>
      </c>
      <c r="D41" s="5" t="str">
        <f>IFERROR(__xludf.DUMMYFUNCTION("filter('Imported Recommendations'!B:D,'Imported Recommendations'!A:A=A41)"),"All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E41" s="53"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F41" s="53" t="str">
        <f>IFERROR(__xludf.DUMMYFUNCTION("""COMPUTED_VALUE"""),"Terraform as a deployment provisioning tool can be used in teaching devops.")</f>
        <v>Terraform as a deployment provisioning tool can be used in teaching devops.</v>
      </c>
      <c r="G41" s="7" t="s">
        <v>9</v>
      </c>
      <c r="H41" s="54"/>
      <c r="I41" s="15" t="s">
        <v>9</v>
      </c>
      <c r="J41" s="49"/>
      <c r="K41" s="4" t="s">
        <v>25</v>
      </c>
      <c r="L41" s="4" t="s">
        <v>25</v>
      </c>
      <c r="M41" s="4"/>
      <c r="N41" s="4"/>
    </row>
    <row r="42">
      <c r="A42" s="6">
        <v>46.0</v>
      </c>
      <c r="B42" s="6" t="s">
        <v>27</v>
      </c>
      <c r="C42" s="6" t="s">
        <v>31</v>
      </c>
      <c r="D42" s="5" t="str">
        <f>IFERROR(__xludf.DUMMYFUNCTION("filter('Imported Recommendations'!B:D,'Imported Recommendations'!A:A=A42)"),"To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E42" s="6"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F42" s="6" t="str">
        <f>IFERROR(__xludf.DUMMYFUNCTION("""COMPUTED_VALUE"""),"Interact with the students.")</f>
        <v>Interact with the students.</v>
      </c>
      <c r="G42" s="7" t="s">
        <v>8</v>
      </c>
      <c r="H42" s="7"/>
      <c r="I42" s="15" t="s">
        <v>8</v>
      </c>
      <c r="J42" s="49"/>
      <c r="K42" s="4"/>
      <c r="L42" s="4"/>
      <c r="M42" s="4"/>
      <c r="N42" s="4"/>
    </row>
    <row r="43">
      <c r="A43" s="53">
        <v>48.0</v>
      </c>
      <c r="B43" s="6" t="s">
        <v>26</v>
      </c>
      <c r="C43" s="27" t="s">
        <v>31</v>
      </c>
      <c r="D43" s="5" t="str">
        <f>IFERROR(__xludf.DUMMYFUNCTION("filter('Imported Recommendations'!B:D,'Imported Recommendations'!A:A=A43)"),"So,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E43" s="53" t="str">
        <f>IFERROR(__xludf.DUMMYFUNCTION("""COMPUTED_VALUE"""),"Use examples with students to teach theory. For instance, we are using blocks or Trello to teach Lean.")</f>
        <v>Use examples with students to teach theory. For instance, we are using blocks or Trello to teach Lean.</v>
      </c>
      <c r="F43" s="53"/>
      <c r="G43" s="7" t="s">
        <v>8</v>
      </c>
      <c r="H43" s="7"/>
      <c r="I43" s="15" t="s">
        <v>8</v>
      </c>
      <c r="J43" s="49"/>
      <c r="K43" s="4"/>
      <c r="L43" s="4"/>
      <c r="M43" s="4"/>
      <c r="N43" s="4"/>
    </row>
    <row r="44">
      <c r="A44" s="6">
        <v>49.0</v>
      </c>
      <c r="B44" s="6" t="s">
        <v>27</v>
      </c>
      <c r="C44" s="6" t="s">
        <v>31</v>
      </c>
      <c r="D44" s="5" t="str">
        <f>IFERROR(__xludf.DUMMYFUNCTION("filter('Imported Recommendations'!B:D,'Imported Recommendations'!A:A=A44)"),"Suppose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E44" s="5"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F44" s="5" t="str">
        <f>IFERROR(__xludf.DUMMYFUNCTION("""COMPUTED_VALUE"""),"Seek to know in advance the needs and limitations of the class.")</f>
        <v>Seek to know in advance the needs and limitations of the class.</v>
      </c>
      <c r="G44" s="7" t="s">
        <v>8</v>
      </c>
      <c r="H44" s="7"/>
      <c r="I44" s="15" t="s">
        <v>8</v>
      </c>
      <c r="J44" s="49"/>
      <c r="K44" s="4"/>
      <c r="L44" s="4"/>
      <c r="M44" s="4"/>
      <c r="N44" s="4"/>
    </row>
    <row r="45">
      <c r="A45" s="53">
        <v>51.0</v>
      </c>
      <c r="B45" s="6" t="s">
        <v>26</v>
      </c>
      <c r="C45" s="27" t="s">
        <v>31</v>
      </c>
      <c r="D45" s="5" t="str">
        <f>IFERROR(__xludf.DUMMYFUNCTION("filter('Imported Recommendations'!B:D,'Imported Recommendations'!A:A=A45)"),"If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E45" s="53" t="str">
        <f>IFERROR(__xludf.DUMMYFUNCTION("""COMPUTED_VALUE"""),"Share course prerequisites with students in advance.")</f>
        <v>Share course prerequisites with students in advance.</v>
      </c>
      <c r="F45" s="53"/>
      <c r="G45" s="7" t="s">
        <v>8</v>
      </c>
      <c r="H45" s="7"/>
      <c r="I45" s="15" t="s">
        <v>8</v>
      </c>
      <c r="J45" s="49"/>
      <c r="K45" s="4"/>
      <c r="L45" s="4"/>
      <c r="M45" s="4"/>
      <c r="N45" s="4"/>
    </row>
    <row r="46">
      <c r="A46" s="6">
        <v>52.0</v>
      </c>
      <c r="B46" s="6" t="s">
        <v>27</v>
      </c>
      <c r="C46" s="6" t="s">
        <v>31</v>
      </c>
      <c r="D46" s="10" t="str">
        <f>IFERROR(__xludf.DUMMYFUNCTION("filter('Imported Recommendations'!B:D,'Imported Recommendations'!A:A=A46)"),"These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E46" s="17"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F46" s="17" t="str">
        <f>IFERROR(__xludf.DUMMYFUNCTION("""COMPUTED_VALUE"""),"Create tutorials to help students.")</f>
        <v>Create tutorials to help students.</v>
      </c>
      <c r="G46" s="7" t="s">
        <v>8</v>
      </c>
      <c r="H46" s="7"/>
      <c r="I46" s="15" t="s">
        <v>8</v>
      </c>
      <c r="J46" s="49"/>
      <c r="K46" s="4"/>
      <c r="L46" s="4"/>
      <c r="M46" s="4"/>
      <c r="N46" s="4"/>
    </row>
    <row r="47">
      <c r="A47" s="6">
        <v>53.0</v>
      </c>
      <c r="B47" s="6" t="s">
        <v>24</v>
      </c>
      <c r="C47" s="6" t="s">
        <v>31</v>
      </c>
      <c r="D47" s="10" t="str">
        <f>IFERROR(__xludf.DUMMYFUNCTION("filter('Imported Recommendations'!B:D,'Imported Recommendations'!A:A=A47)"),"So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E47" s="10"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F47" s="10" t="str">
        <f>IFERROR(__xludf.DUMMYFUNCTION("""COMPUTED_VALUE"""),"Simulate real problems with the students.")</f>
        <v>Simulate real problems with the students.</v>
      </c>
      <c r="G47" s="7" t="s">
        <v>8</v>
      </c>
      <c r="H47" s="7"/>
      <c r="I47" s="15" t="s">
        <v>8</v>
      </c>
      <c r="J47" s="49"/>
      <c r="K47" s="4"/>
      <c r="L47" s="4"/>
      <c r="M47" s="4"/>
      <c r="N47" s="4"/>
    </row>
    <row r="48">
      <c r="A48" s="53">
        <v>54.0</v>
      </c>
      <c r="B48" s="6" t="s">
        <v>26</v>
      </c>
      <c r="C48" s="27" t="s">
        <v>31</v>
      </c>
      <c r="D48" s="10" t="str">
        <f>IFERROR(__xludf.DUMMYFUNCTION("filter('Imported Recommendations'!B:D,'Imported Recommendations'!A:A=A48)"),"From a didactic point of view, we leave one or two hours before each day; there is a specific infra team to answer any student's doubts.")</f>
        <v>From a didactic point of view, we leave one or two hours before each day; there is a specific infra team to answer any student's doubts.</v>
      </c>
      <c r="E48" s="35" t="str">
        <f>IFERROR(__xludf.DUMMYFUNCTION("""COMPUTED_VALUE"""),"There is a specific support team to answer students' questions about the related infrastructure part.")</f>
        <v>There is a specific support team to answer students' questions about the related infrastructure part.</v>
      </c>
      <c r="F48" s="35"/>
      <c r="G48" s="7" t="s">
        <v>8</v>
      </c>
      <c r="H48" s="7"/>
      <c r="I48" s="15" t="s">
        <v>8</v>
      </c>
      <c r="J48" s="49"/>
      <c r="K48" s="4"/>
      <c r="L48" s="4"/>
      <c r="M48" s="4"/>
      <c r="N48" s="4"/>
    </row>
    <row r="49">
      <c r="A49" s="6">
        <v>55.0</v>
      </c>
      <c r="B49" s="6" t="s">
        <v>27</v>
      </c>
      <c r="C49" s="6" t="s">
        <v>31</v>
      </c>
      <c r="D49" s="10" t="str">
        <f>IFERROR(__xludf.DUMMYFUNCTION("filter('Imported Recommendations'!B:D,'Imported Recommendations'!A:A=A49)"),"Realize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E49" s="10" t="str">
        <f>IFERROR(__xludf.DUMMYFUNCTION("""COMPUTED_VALUE"""),"Avoid messing around with specific problems faced by students, dealing in a personalized way at the right time.")</f>
        <v>Avoid messing around with specific problems faced by students, dealing in a personalized way at the right time.</v>
      </c>
      <c r="F49" s="10"/>
      <c r="G49" s="7" t="s">
        <v>8</v>
      </c>
      <c r="H49" s="7"/>
      <c r="I49" s="15" t="s">
        <v>8</v>
      </c>
      <c r="J49" s="49"/>
      <c r="K49" s="4"/>
      <c r="L49" s="4"/>
      <c r="M49" s="4"/>
      <c r="N49" s="4"/>
    </row>
    <row r="50">
      <c r="A50" s="6">
        <v>56.0</v>
      </c>
      <c r="B50" s="6" t="s">
        <v>24</v>
      </c>
      <c r="C50" s="6" t="s">
        <v>31</v>
      </c>
      <c r="D50" s="10" t="str">
        <f>IFERROR(__xludf.DUMMYFUNCTION("filter('Imported Recommendations'!B:D,'Imported Recommendations'!A:A=A50)"),"A task tracking tool. Then it can be Notion or Trello; I think it's essential.")</f>
        <v>A task tracking tool. Then it can be Notion or Trello; I think it's essential.</v>
      </c>
      <c r="E50" s="10" t="str">
        <f>IFERROR(__xludf.DUMMYFUNCTION("""COMPUTED_VALUE"""),"Use a task tracking tool like Trello or Notion.")</f>
        <v>Use a task tracking tool like Trello or Notion.</v>
      </c>
      <c r="F50" s="10"/>
      <c r="G50" s="7" t="s">
        <v>8</v>
      </c>
      <c r="H50" s="7"/>
      <c r="I50" s="15" t="s">
        <v>8</v>
      </c>
      <c r="J50" s="49"/>
      <c r="K50" s="4"/>
      <c r="L50" s="4"/>
      <c r="M50" s="4"/>
      <c r="N50" s="4"/>
    </row>
    <row r="51">
      <c r="A51" s="53">
        <v>57.0</v>
      </c>
      <c r="B51" s="6" t="s">
        <v>26</v>
      </c>
      <c r="C51" s="27" t="s">
        <v>31</v>
      </c>
      <c r="D51" s="10" t="str">
        <f>IFERROR(__xludf.DUMMYFUNCTION("filter('Imported Recommendations'!B:D,'Imported Recommendations'!A:A=A51)"),"There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E51" s="35"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F51" s="35" t="str">
        <f>IFERROR(__xludf.DUMMYFUNCTION("""COMPUTED_VALUE"""),"Use streaming tool like Zoom in remote learning scenario.")</f>
        <v>Use streaming tool like Zoom in remote learning scenario.</v>
      </c>
      <c r="G51" s="7" t="s">
        <v>8</v>
      </c>
      <c r="H51" s="7"/>
      <c r="I51" s="15" t="s">
        <v>8</v>
      </c>
      <c r="J51" s="49"/>
      <c r="K51" s="4"/>
      <c r="L51" s="4"/>
      <c r="M51" s="4"/>
      <c r="N51" s="4"/>
    </row>
    <row r="52">
      <c r="A52" s="6">
        <v>58.0</v>
      </c>
      <c r="B52" s="6" t="s">
        <v>27</v>
      </c>
      <c r="C52" s="6" t="s">
        <v>31</v>
      </c>
      <c r="D52" s="10" t="str">
        <f>IFERROR(__xludf.DUMMYFUNCTION("filter('Imported Recommendations'!B:D,'Imported Recommendations'!A:A=A52)"),"I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E52" s="10"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F52" s="10"/>
      <c r="G52" s="7" t="s">
        <v>8</v>
      </c>
      <c r="H52" s="7"/>
      <c r="I52" s="15" t="s">
        <v>8</v>
      </c>
      <c r="J52" s="49"/>
      <c r="K52" s="4"/>
      <c r="L52" s="4"/>
      <c r="M52" s="4"/>
      <c r="N52" s="4"/>
    </row>
    <row r="53">
      <c r="A53" s="6">
        <v>59.0</v>
      </c>
      <c r="B53" s="6" t="s">
        <v>24</v>
      </c>
      <c r="C53" s="6" t="s">
        <v>31</v>
      </c>
      <c r="D53" s="10" t="str">
        <f>IFERROR(__xludf.DUMMYFUNCTION("filter('Imported Recommendations'!B:D,'Imported Recommendations'!A:A=A53)"),"And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E53" s="10"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F53" s="10" t="str">
        <f>IFERROR(__xludf.DUMMYFUNCTION("""COMPUTED_VALUE"""),"Use a code repository tool like Github.")</f>
        <v>Use a code repository tool like Github.</v>
      </c>
      <c r="G53" s="7" t="s">
        <v>8</v>
      </c>
      <c r="H53" s="54"/>
      <c r="I53" s="15" t="s">
        <v>8</v>
      </c>
      <c r="J53" s="49"/>
      <c r="K53" s="4" t="s">
        <v>25</v>
      </c>
      <c r="L53" s="4" t="s">
        <v>25</v>
      </c>
      <c r="M53" s="4"/>
      <c r="N53" s="4"/>
    </row>
    <row r="54">
      <c r="A54" s="53">
        <v>60.0</v>
      </c>
      <c r="B54" s="6" t="s">
        <v>26</v>
      </c>
      <c r="C54" s="27" t="s">
        <v>31</v>
      </c>
      <c r="D54" s="10" t="str">
        <f>IFERROR(__xludf.DUMMYFUNCTION("filter('Imported Recommendations'!B:D,'Imported Recommendations'!A:A=A54)"),"We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E54" s="35"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F54" s="35" t="str">
        <f>IFERROR(__xludf.DUMMYFUNCTION("""COMPUTED_VALUE"""),"Use Jenkins tool.")</f>
        <v>Use Jenkins tool.</v>
      </c>
      <c r="G54" s="7" t="s">
        <v>9</v>
      </c>
      <c r="H54" s="7"/>
      <c r="I54" s="15" t="s">
        <v>9</v>
      </c>
      <c r="J54" s="49"/>
      <c r="K54" s="4"/>
      <c r="L54" s="4"/>
      <c r="M54" s="4"/>
      <c r="N54" s="4"/>
    </row>
    <row r="55">
      <c r="A55" s="6">
        <v>61.0</v>
      </c>
      <c r="B55" s="6" t="s">
        <v>27</v>
      </c>
      <c r="C55" s="6" t="s">
        <v>31</v>
      </c>
      <c r="D55" s="10" t="str">
        <f>IFERROR(__xludf.DUMMYFUNCTION("filter('Imported Recommendations'!B:D,'Imported Recommendations'!A:A=A55)"),"Notion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E55" s="10" t="str">
        <f>IFERROR(__xludf.DUMMYFUNCTION("""COMPUTED_VALUE"""),"Notion and Trello allow student and teacher interaction in two ways. Gist does not allow it.")</f>
        <v>Notion and Trello allow student and teacher interaction in two ways. Gist does not allow it.</v>
      </c>
      <c r="F55" s="10"/>
      <c r="G55" s="7" t="s">
        <v>8</v>
      </c>
      <c r="H55" s="7"/>
      <c r="I55" s="15" t="s">
        <v>8</v>
      </c>
      <c r="J55" s="49"/>
      <c r="K55" s="4" t="s">
        <v>25</v>
      </c>
      <c r="L55" s="4" t="s">
        <v>25</v>
      </c>
      <c r="M55" s="4"/>
      <c r="N55" s="4"/>
    </row>
    <row r="56">
      <c r="A56" s="6">
        <v>62.0</v>
      </c>
      <c r="B56" s="6" t="s">
        <v>24</v>
      </c>
      <c r="C56" s="6" t="s">
        <v>31</v>
      </c>
      <c r="D56" s="10" t="str">
        <f>IFERROR(__xludf.DUMMYFUNCTION("filter('Imported Recommendations'!B:D,'Imported Recommendations'!A:A=A56)"),"So,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E56" s="10" t="str">
        <f>IFERROR(__xludf.DUMMYFUNCTION("""COMPUTED_VALUE"""),"Limit the zoom FPS rate to 10, avoiding excessive student and instructor resource consumption.")</f>
        <v>Limit the zoom FPS rate to 10, avoiding excessive student and instructor resource consumption.</v>
      </c>
      <c r="F56" s="10"/>
      <c r="G56" s="7" t="s">
        <v>8</v>
      </c>
      <c r="H56" s="7"/>
      <c r="I56" s="15" t="s">
        <v>8</v>
      </c>
      <c r="J56" s="49"/>
      <c r="K56" s="4"/>
      <c r="L56" s="4"/>
      <c r="M56" s="4"/>
      <c r="N56" s="4"/>
    </row>
    <row r="57">
      <c r="A57" s="53">
        <v>63.0</v>
      </c>
      <c r="B57" s="6" t="s">
        <v>26</v>
      </c>
      <c r="C57" s="27" t="s">
        <v>31</v>
      </c>
      <c r="D57" s="10" t="str">
        <f>IFERROR(__xludf.DUMMYFUNCTION("filter('Imported Recommendations'!B:D,'Imported Recommendations'!A:A=A57)"),"It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E57" s="25"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F57" s="25"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G57" s="7" t="s">
        <v>9</v>
      </c>
      <c r="H57" s="7"/>
      <c r="I57" s="15" t="s">
        <v>9</v>
      </c>
      <c r="J57" s="49"/>
      <c r="K57" s="4"/>
      <c r="L57" s="4"/>
      <c r="M57" s="4"/>
      <c r="N57" s="4"/>
    </row>
    <row r="58">
      <c r="A58" s="6">
        <v>64.0</v>
      </c>
      <c r="B58" s="6" t="s">
        <v>27</v>
      </c>
      <c r="C58" s="6" t="s">
        <v>31</v>
      </c>
      <c r="D58" s="10" t="str">
        <f>IFERROR(__xludf.DUMMYFUNCTION("filter('Imported Recommendations'!B:D,'Imported Recommendations'!A:A=A58)"),"They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E58" s="10"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F58" s="10" t="str">
        <f>IFERROR(__xludf.DUMMYFUNCTION("""COMPUTED_VALUE"""),"Evaluate the course.")</f>
        <v>Evaluate the course.</v>
      </c>
      <c r="G58" s="7" t="s">
        <v>8</v>
      </c>
      <c r="H58" s="7"/>
      <c r="I58" s="15" t="s">
        <v>8</v>
      </c>
      <c r="J58" s="49"/>
      <c r="K58" s="4"/>
      <c r="L58" s="4"/>
      <c r="M58" s="4"/>
      <c r="N58" s="4"/>
    </row>
    <row r="59">
      <c r="A59" s="53">
        <v>66.0</v>
      </c>
      <c r="B59" s="6" t="s">
        <v>26</v>
      </c>
      <c r="C59" s="27" t="s">
        <v>31</v>
      </c>
      <c r="D59" s="10" t="str">
        <f>IFERROR(__xludf.DUMMYFUNCTION("filter('Imported Recommendations'!B:D,'Imported Recommendations'!A:A=A59)"),"If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E59" s="35" t="str">
        <f>IFERROR(__xludf.DUMMYFUNCTION("""COMPUTED_VALUE"""),"Record a training for the teacher to assess language addiction and whether the class flowed as planned.")</f>
        <v>Record a training for the teacher to assess language addiction and whether the class flowed as planned.</v>
      </c>
      <c r="F59" s="35"/>
      <c r="G59" s="7" t="s">
        <v>8</v>
      </c>
      <c r="H59" s="7"/>
      <c r="I59" s="15" t="s">
        <v>8</v>
      </c>
      <c r="J59" s="49"/>
      <c r="K59" s="4"/>
      <c r="L59" s="4"/>
      <c r="M59" s="4"/>
      <c r="N59" s="4"/>
    </row>
    <row r="60">
      <c r="A60" s="6">
        <v>67.0</v>
      </c>
      <c r="B60" s="6" t="s">
        <v>27</v>
      </c>
      <c r="C60" s="6" t="s">
        <v>31</v>
      </c>
      <c r="D60" s="10" t="str">
        <f>IFERROR(__xludf.DUMMYFUNCTION("filter('Imported Recommendations'!B:D,'Imported Recommendations'!A:A=A60)"),"Mixing, theoretical and practical [...] is essential.")</f>
        <v>Mixing, theoretical and practical [...] is essential.</v>
      </c>
      <c r="E60" s="10" t="str">
        <f>IFERROR(__xludf.DUMMYFUNCTION("""COMPUTED_VALUE"""),"It is essential to mix the teaching of the theoretical part and the practical part of DevOps.")</f>
        <v>It is essential to mix the teaching of the theoretical part and the practical part of DevOps.</v>
      </c>
      <c r="F60" s="10"/>
      <c r="G60" s="7" t="s">
        <v>9</v>
      </c>
      <c r="H60" s="7"/>
      <c r="I60" s="15" t="s">
        <v>9</v>
      </c>
      <c r="J60" s="49"/>
      <c r="K60" s="4"/>
      <c r="L60" s="4"/>
      <c r="M60" s="4"/>
      <c r="N60" s="4"/>
    </row>
    <row r="61">
      <c r="A61" s="6">
        <v>68.0</v>
      </c>
      <c r="B61" s="6" t="s">
        <v>24</v>
      </c>
      <c r="C61" s="6" t="s">
        <v>31</v>
      </c>
      <c r="D61" s="10" t="str">
        <f>IFERROR(__xludf.DUMMYFUNCTION("filter('Imported Recommendations'!B:D,'Imported Recommendations'!A:A=A61)"),"We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E61" s="10" t="str">
        <f>IFERROR(__xludf.DUMMYFUNCTION("""COMPUTED_VALUE"""),"In the theoretical part of DevOps, Lean, Kaisen, and Agile should be taught.")</f>
        <v>In the theoretical part of DevOps, Lean, Kaisen, and Agile should be taught.</v>
      </c>
      <c r="F61" s="10"/>
      <c r="G61" s="7" t="s">
        <v>9</v>
      </c>
      <c r="H61" s="7"/>
      <c r="I61" s="15" t="s">
        <v>9</v>
      </c>
      <c r="J61" s="49"/>
      <c r="K61" s="4"/>
      <c r="L61" s="4"/>
      <c r="M61" s="4"/>
      <c r="N61" s="4"/>
    </row>
    <row r="62">
      <c r="A62" s="53">
        <v>69.0</v>
      </c>
      <c r="B62" s="6" t="s">
        <v>26</v>
      </c>
      <c r="C62" s="27" t="s">
        <v>31</v>
      </c>
      <c r="D62" s="10" t="str">
        <f>IFERROR(__xludf.DUMMYFUNCTION("filter('Imported Recommendations'!B:D,'Imported Recommendations'!A:A=A62)"),"What is practical, from the menu, is to make an end-to-end software, [...] But, end-to-end, and the end, which is monitoring.")</f>
        <v>What is practical, from the menu, is to make an end-to-end software, [...] But, end-to-end, and the end, which is monitoring.</v>
      </c>
      <c r="E62" s="35" t="str">
        <f>IFERROR(__xludf.DUMMYFUNCTION("""COMPUTED_VALUE"""),"Make software from start to finish, going through the DevOps steps to the monitoring step.")</f>
        <v>Make software from start to finish, going through the DevOps steps to the monitoring step.</v>
      </c>
      <c r="F62" s="35"/>
      <c r="G62" s="7" t="s">
        <v>9</v>
      </c>
      <c r="H62" s="54"/>
      <c r="I62" s="15" t="s">
        <v>9</v>
      </c>
      <c r="J62" s="49"/>
      <c r="K62" s="4" t="s">
        <v>25</v>
      </c>
      <c r="L62" s="4" t="s">
        <v>25</v>
      </c>
      <c r="M62" s="4"/>
      <c r="N62" s="4"/>
    </row>
    <row r="63">
      <c r="A63" s="6">
        <v>70.0</v>
      </c>
      <c r="B63" s="6" t="s">
        <v>27</v>
      </c>
      <c r="C63" s="6" t="s">
        <v>31</v>
      </c>
      <c r="D63" s="10" t="str">
        <f>IFERROR(__xludf.DUMMYFUNCTION("filter('Imported Recommendations'!B:D,'Imported Recommendations'!A:A=A63)"),"Software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E63" s="10" t="str">
        <f>IFERROR(__xludf.DUMMYFUNCTION("""COMPUTED_VALUE"""),"Perform continuous delivery through virtual machines or with Docker.")</f>
        <v>Perform continuous delivery through virtual machines or with Docker.</v>
      </c>
      <c r="F63" s="10"/>
      <c r="G63" s="7" t="s">
        <v>9</v>
      </c>
      <c r="H63" s="7"/>
      <c r="I63" s="15" t="s">
        <v>9</v>
      </c>
      <c r="J63" s="49"/>
      <c r="K63" s="4"/>
      <c r="L63" s="4"/>
      <c r="M63" s="4"/>
      <c r="N63" s="4"/>
    </row>
    <row r="64">
      <c r="A64" s="6">
        <v>71.0</v>
      </c>
      <c r="B64" s="6" t="s">
        <v>24</v>
      </c>
      <c r="C64" s="6" t="s">
        <v>31</v>
      </c>
      <c r="D64" s="10" t="str">
        <f>IFERROR(__xludf.DUMMYFUNCTION("filter('Imported Recommendations'!B:D,'Imported Recommendations'!A:A=A64)"),"The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E64" s="10" t="str">
        <f>IFERROR(__xludf.DUMMYFUNCTION("""COMPUTED_VALUE"""),"Use Grafana and Prometheus as monitoring tools.")</f>
        <v>Use Grafana and Prometheus as monitoring tools.</v>
      </c>
      <c r="F64" s="10"/>
      <c r="G64" s="7" t="s">
        <v>9</v>
      </c>
      <c r="H64" s="7"/>
      <c r="I64" s="15" t="s">
        <v>9</v>
      </c>
      <c r="J64" s="49"/>
      <c r="K64" s="4"/>
      <c r="L64" s="4"/>
      <c r="M64" s="4"/>
      <c r="N64" s="4"/>
    </row>
    <row r="65">
      <c r="A65" s="53">
        <v>72.0</v>
      </c>
      <c r="B65" s="6" t="s">
        <v>26</v>
      </c>
      <c r="C65" s="27" t="s">
        <v>31</v>
      </c>
      <c r="D65" s="10" t="str">
        <f>IFERROR(__xludf.DUMMYFUNCTION("filter('Imported Recommendations'!B:D,'Imported Recommendations'!A:A=A65)"),"Of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E65" s="35" t="str">
        <f>IFERROR(__xludf.DUMMYFUNCTION("""COMPUTED_VALUE"""),"Use a complete example project from places such as a java discussion forum.")</f>
        <v>Use a complete example project from places such as a java discussion forum.</v>
      </c>
      <c r="F65" s="35"/>
      <c r="G65" s="7" t="s">
        <v>8</v>
      </c>
      <c r="H65" s="7"/>
      <c r="I65" s="15" t="s">
        <v>8</v>
      </c>
      <c r="J65" s="49"/>
      <c r="K65" s="4"/>
      <c r="L65" s="4"/>
      <c r="M65" s="4"/>
      <c r="N65" s="4"/>
    </row>
    <row r="66">
      <c r="A66" s="6">
        <v>73.0</v>
      </c>
      <c r="B66" s="6" t="s">
        <v>27</v>
      </c>
      <c r="C66" s="6" t="s">
        <v>31</v>
      </c>
      <c r="D66" s="10" t="str">
        <f>IFERROR(__xludf.DUMMYFUNCTION("filter('Imported Recommendations'!B:D,'Imported Recommendations'!A:A=A66)"),"So,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E66" s="10"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F66" s="10"/>
      <c r="G66" s="7" t="s">
        <v>9</v>
      </c>
      <c r="H66" s="7"/>
      <c r="I66" s="15" t="s">
        <v>9</v>
      </c>
      <c r="J66" s="49"/>
      <c r="K66" s="4"/>
      <c r="L66" s="4"/>
      <c r="M66" s="4"/>
      <c r="N66" s="4"/>
    </row>
    <row r="67">
      <c r="A67" s="6">
        <v>74.0</v>
      </c>
      <c r="B67" s="6" t="s">
        <v>24</v>
      </c>
      <c r="C67" s="6" t="s">
        <v>31</v>
      </c>
      <c r="D67" s="10" t="str">
        <f>IFERROR(__xludf.DUMMYFUNCTION("filter('Imported Recommendations'!B:D,'Imported Recommendations'!A:A=A67)"),"Make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E67" s="10"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F67" s="10"/>
      <c r="G67" s="7" t="s">
        <v>8</v>
      </c>
      <c r="H67" s="7"/>
      <c r="I67" s="15" t="s">
        <v>8</v>
      </c>
      <c r="J67" s="49"/>
      <c r="K67" s="4"/>
      <c r="L67" s="4"/>
      <c r="M67" s="4"/>
      <c r="N67" s="4"/>
    </row>
    <row r="68">
      <c r="A68" s="53">
        <v>75.0</v>
      </c>
      <c r="B68" s="6" t="s">
        <v>26</v>
      </c>
      <c r="C68" s="27" t="s">
        <v>31</v>
      </c>
      <c r="D68" s="10" t="str">
        <f>IFERROR(__xludf.DUMMYFUNCTION("filter('Imported Recommendations'!B:D,'Imported Recommendations'!A:A=A68)"),"Within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E68" s="35"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F68" s="35" t="str">
        <f>IFERROR(__xludf.DUMMYFUNCTION("""COMPUTED_VALUE"""),"Show the student that there are several ways and tools to do the task.")</f>
        <v>Show the student that there are several ways and tools to do the task.</v>
      </c>
      <c r="G68" s="7" t="s">
        <v>8</v>
      </c>
      <c r="H68" s="7"/>
      <c r="I68" s="15" t="s">
        <v>8</v>
      </c>
      <c r="J68" s="49"/>
      <c r="K68" s="4"/>
      <c r="L68" s="4"/>
      <c r="M68" s="4"/>
      <c r="N68" s="4"/>
    </row>
    <row r="69">
      <c r="A69" s="6">
        <v>76.0</v>
      </c>
      <c r="B69" s="6" t="s">
        <v>27</v>
      </c>
      <c r="C69" s="6" t="s">
        <v>31</v>
      </c>
      <c r="D69" s="10" t="str">
        <f>IFERROR(__xludf.DUMMYFUNCTION("filter('Imported Recommendations'!B:D,'Imported Recommendations'!A:A=A69)"),"I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E69" s="10"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F69" s="10" t="str">
        <f>IFERROR(__xludf.DUMMYFUNCTION("""COMPUTED_VALUE"""),"The students could build their own system during the course.")</f>
        <v>The students could build their own system during the course.</v>
      </c>
      <c r="G69" s="7" t="s">
        <v>9</v>
      </c>
      <c r="H69" s="7"/>
      <c r="I69" s="15" t="s">
        <v>9</v>
      </c>
      <c r="J69" s="49"/>
      <c r="K69" s="4"/>
      <c r="L69" s="4"/>
      <c r="M69" s="4"/>
      <c r="N69" s="4"/>
    </row>
    <row r="70">
      <c r="A70" s="6">
        <v>77.0</v>
      </c>
      <c r="B70" s="6" t="s">
        <v>24</v>
      </c>
      <c r="C70" s="6" t="s">
        <v>31</v>
      </c>
      <c r="D70" s="10" t="str">
        <f>IFERROR(__xludf.DUMMYFUNCTION("filter('Imported Recommendations'!B:D,'Imported Recommendations'!A:A=A70)"),"The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E70" s="10" t="str">
        <f>IFERROR(__xludf.DUMMYFUNCTION("""COMPUTED_VALUE"""),"Exercise as many tools as possible.")</f>
        <v>Exercise as many tools as possible.</v>
      </c>
      <c r="F70" s="10"/>
      <c r="G70" s="7" t="s">
        <v>8</v>
      </c>
      <c r="H70" s="54"/>
      <c r="I70" s="15" t="s">
        <v>8</v>
      </c>
      <c r="J70" s="49"/>
      <c r="K70" s="4" t="s">
        <v>25</v>
      </c>
      <c r="L70" s="4" t="s">
        <v>25</v>
      </c>
      <c r="M70" s="4"/>
      <c r="N70" s="4"/>
    </row>
    <row r="71">
      <c r="A71" s="53">
        <v>78.0</v>
      </c>
      <c r="B71" s="6" t="s">
        <v>26</v>
      </c>
      <c r="C71" s="27" t="s">
        <v>31</v>
      </c>
      <c r="D71" s="10" t="str">
        <f>IFERROR(__xludf.DUMMYFUNCTION("filter('Imported Recommendations'!B:D,'Imported Recommendations'!A:A=A71)"),"Because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E71" s="25"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F71" s="25" t="str">
        <f>IFERROR(__xludf.DUMMYFUNCTION("""COMPUTED_VALUE"""),"Use various sources of DevOps materials.")</f>
        <v>Use various sources of DevOps materials.</v>
      </c>
      <c r="G71" s="7" t="s">
        <v>9</v>
      </c>
      <c r="H71" s="7"/>
      <c r="I71" s="15" t="s">
        <v>9</v>
      </c>
      <c r="J71" s="49"/>
      <c r="K71" s="4"/>
      <c r="L71" s="4"/>
      <c r="M71" s="4"/>
      <c r="N71" s="4"/>
    </row>
    <row r="72">
      <c r="A72" s="6">
        <v>79.0</v>
      </c>
      <c r="B72" s="6" t="s">
        <v>27</v>
      </c>
      <c r="C72" s="6" t="s">
        <v>31</v>
      </c>
      <c r="D72" s="10" t="str">
        <f>IFERROR(__xludf.DUMMYFUNCTION("filter('Imported Recommendations'!B:D,'Imported Recommendations'!A:A=A72)"),"This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E72" s="10"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F72" s="10" t="str">
        <f>IFERROR(__xludf.DUMMYFUNCTION("""COMPUTED_VALUE"""),"Deliver a ready-made sample system for students to use.")</f>
        <v>Deliver a ready-made sample system for students to use.</v>
      </c>
      <c r="G72" s="7" t="s">
        <v>8</v>
      </c>
      <c r="H72" s="7"/>
      <c r="I72" s="15" t="s">
        <v>8</v>
      </c>
      <c r="J72" s="49"/>
      <c r="K72" s="4"/>
      <c r="L72" s="4"/>
      <c r="M72" s="4"/>
      <c r="N72" s="4"/>
    </row>
    <row r="73">
      <c r="A73" s="6">
        <v>80.0</v>
      </c>
      <c r="B73" s="6" t="s">
        <v>24</v>
      </c>
      <c r="C73" s="6" t="s">
        <v>31</v>
      </c>
      <c r="D73" s="10" t="str">
        <f>IFERROR(__xludf.DUMMYFUNCTION("filter('Imported Recommendations'!B:D,'Imported Recommendations'!A:A=A73)"),"Maybe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E73" s="10"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F73" s="10" t="str">
        <f>IFERROR(__xludf.DUMMYFUNCTION("""COMPUTED_VALUE"""),"Provide initial environment setup for students.")</f>
        <v>Provide initial environment setup for students.</v>
      </c>
      <c r="G73" s="7" t="s">
        <v>8</v>
      </c>
      <c r="H73" s="54"/>
      <c r="I73" s="15" t="s">
        <v>8</v>
      </c>
      <c r="J73" s="49"/>
      <c r="K73" s="4" t="s">
        <v>25</v>
      </c>
      <c r="L73" s="4"/>
      <c r="M73" s="4" t="s">
        <v>28</v>
      </c>
      <c r="N73" s="4"/>
    </row>
    <row r="74">
      <c r="A74" s="53">
        <v>81.0</v>
      </c>
      <c r="B74" s="6" t="s">
        <v>26</v>
      </c>
      <c r="C74" s="27" t="s">
        <v>31</v>
      </c>
      <c r="D74" s="10" t="str">
        <f>IFERROR(__xludf.DUMMYFUNCTION("filter('Imported Recommendations'!B:D,'Imported Recommendations'!A:A=A74)"),"You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E74" s="35"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F74" s="35" t="str">
        <f>IFERROR(__xludf.DUMMYFUNCTION("""COMPUTED_VALUE"""),"Teach version control with git feature branch workflow.")</f>
        <v>Teach version control with git feature branch workflow.</v>
      </c>
      <c r="G74" s="7" t="s">
        <v>9</v>
      </c>
      <c r="H74" s="7"/>
      <c r="I74" s="15" t="s">
        <v>9</v>
      </c>
      <c r="J74" s="49"/>
      <c r="K74" s="4"/>
      <c r="L74" s="4"/>
      <c r="M74" s="4"/>
      <c r="N74" s="4"/>
    </row>
    <row r="75">
      <c r="A75" s="6">
        <v>82.0</v>
      </c>
      <c r="B75" s="6" t="s">
        <v>27</v>
      </c>
      <c r="C75" s="6" t="s">
        <v>31</v>
      </c>
      <c r="D75" s="10" t="str">
        <f>IFERROR(__xludf.DUMMYFUNCTION("filter('Imported Recommendations'!B:D,'Imported Recommendations'!A:A=A75)"),"Something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E75" s="10" t="str">
        <f>IFERROR(__xludf.DUMMYFUNCTION("""COMPUTED_VALUE"""),"Document the consulted material, facilitating future access.")</f>
        <v>Document the consulted material, facilitating future access.</v>
      </c>
      <c r="F75" s="10"/>
      <c r="G75" s="7" t="s">
        <v>8</v>
      </c>
      <c r="H75" s="7"/>
      <c r="I75" s="15" t="s">
        <v>8</v>
      </c>
      <c r="J75" s="49"/>
      <c r="K75" s="4"/>
      <c r="L75" s="4"/>
      <c r="M75" s="4"/>
      <c r="N75" s="4"/>
    </row>
    <row r="76">
      <c r="A76" s="6">
        <v>83.0</v>
      </c>
      <c r="B76" s="6" t="s">
        <v>24</v>
      </c>
      <c r="C76" s="6" t="s">
        <v>31</v>
      </c>
      <c r="D76" s="10" t="str">
        <f>IFERROR(__xludf.DUMMYFUNCTION("filter('Imported Recommendations'!B:D,'Imported Recommendations'!A:A=A76)"),"For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E76" s="10"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F76" s="10" t="str">
        <f>IFERROR(__xludf.DUMMYFUNCTION("""COMPUTED_VALUE"""),"Teach continuous integration and pipeline automation.")</f>
        <v>Teach continuous integration and pipeline automation.</v>
      </c>
      <c r="G76" s="7" t="s">
        <v>9</v>
      </c>
      <c r="H76" s="7"/>
      <c r="I76" s="15" t="s">
        <v>9</v>
      </c>
      <c r="J76" s="49"/>
      <c r="K76" s="4"/>
      <c r="L76" s="4"/>
      <c r="M76" s="4"/>
      <c r="N76" s="4"/>
    </row>
    <row r="77">
      <c r="A77" s="53">
        <v>84.0</v>
      </c>
      <c r="B77" s="6" t="s">
        <v>26</v>
      </c>
      <c r="C77" s="27" t="s">
        <v>31</v>
      </c>
      <c r="D77" s="10" t="str">
        <f>IFERROR(__xludf.DUMMYFUNCTION("filter('Imported Recommendations'!B:D,'Imported Recommendations'!A:A=A77)"),"Jenkins,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E77" s="35"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F77" s="35"/>
      <c r="G77" s="7" t="s">
        <v>9</v>
      </c>
      <c r="H77" s="7"/>
      <c r="I77" s="15" t="s">
        <v>9</v>
      </c>
      <c r="J77" s="49"/>
      <c r="K77" s="4"/>
      <c r="L77" s="4"/>
      <c r="M77" s="4"/>
      <c r="N77" s="4"/>
    </row>
    <row r="78">
      <c r="A78" s="6">
        <v>85.0</v>
      </c>
      <c r="B78" s="6" t="s">
        <v>27</v>
      </c>
      <c r="C78" s="6" t="s">
        <v>31</v>
      </c>
      <c r="D78" s="10" t="str">
        <f>IFERROR(__xludf.DUMMYFUNCTION("filter('Imported Recommendations'!B:D,'Imported Recommendations'!A:A=A78)"),"The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E78" s="10" t="str">
        <f>IFERROR(__xludf.DUMMYFUNCTION("""COMPUTED_VALUE"""),"Introduce students to minimal relevant tools and their tradeoffs.
Use few key tools.")</f>
        <v>Introduce students to minimal relevant tools and their tradeoffs.
Use few key tools.</v>
      </c>
      <c r="F78" s="17" t="str">
        <f>IFERROR(__xludf.DUMMYFUNCTION("""COMPUTED_VALUE"""),"Use few key tools.")</f>
        <v>Use few key tools.</v>
      </c>
      <c r="G78" s="7" t="s">
        <v>9</v>
      </c>
      <c r="H78" s="7"/>
      <c r="I78" s="15" t="s">
        <v>9</v>
      </c>
      <c r="J78" s="49"/>
      <c r="K78" s="4"/>
      <c r="L78" s="4"/>
      <c r="M78" s="4"/>
      <c r="N78" s="4"/>
    </row>
    <row r="79">
      <c r="A79" s="6">
        <v>86.0</v>
      </c>
      <c r="B79" s="6" t="s">
        <v>24</v>
      </c>
      <c r="C79" s="6" t="s">
        <v>31</v>
      </c>
      <c r="D79" s="10" t="str">
        <f>IFERROR(__xludf.DUMMYFUNCTION("filter('Imported Recommendations'!B:D,'Imported Recommendations'!A:A=A79)"),"I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E79" s="10"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F79" s="10" t="str">
        <f>IFERROR(__xludf.DUMMYFUNCTION("""COMPUTED_VALUE"""),"Do exams with more conceptual questions.")</f>
        <v>Do exams with more conceptual questions.</v>
      </c>
      <c r="G79" s="7" t="s">
        <v>9</v>
      </c>
      <c r="H79" s="7"/>
      <c r="I79" s="15" t="s">
        <v>9</v>
      </c>
      <c r="J79" s="49"/>
      <c r="K79" s="4"/>
      <c r="L79" s="4"/>
      <c r="M79" s="4"/>
      <c r="N79" s="4"/>
    </row>
    <row r="80">
      <c r="A80" s="53">
        <v>87.0</v>
      </c>
      <c r="B80" s="6" t="s">
        <v>26</v>
      </c>
      <c r="C80" s="27" t="s">
        <v>31</v>
      </c>
      <c r="D80" s="10" t="str">
        <f>IFERROR(__xludf.DUMMYFUNCTION("filter('Imported Recommendations'!B:D,'Imported Recommendations'!A:A=A80)"),"DevOps [...] In the specialization course [...] you can break all this content into more extensive disciplines.")</f>
        <v>DevOps [...] In the specialization course [...] you can break all this content into more extensive disciplines.</v>
      </c>
      <c r="E80" s="35" t="str">
        <f>IFERROR(__xludf.DUMMYFUNCTION("""COMPUTED_VALUE"""),"It is possible to break the teaching of DevOps into various disciplines in a DevOps specialization course.")</f>
        <v>It is possible to break the teaching of DevOps into various disciplines in a DevOps specialization course.</v>
      </c>
      <c r="F80" s="35"/>
      <c r="G80" s="7" t="s">
        <v>9</v>
      </c>
      <c r="H80" s="7"/>
      <c r="I80" s="15" t="s">
        <v>9</v>
      </c>
      <c r="J80" s="49"/>
      <c r="K80" s="4"/>
      <c r="L80" s="4"/>
      <c r="M80" s="4"/>
      <c r="N80" s="4"/>
    </row>
    <row r="81">
      <c r="A81" s="6">
        <v>88.0</v>
      </c>
      <c r="B81" s="6" t="s">
        <v>27</v>
      </c>
      <c r="C81" s="6" t="s">
        <v>31</v>
      </c>
      <c r="D81" s="10" t="str">
        <f>IFERROR(__xludf.DUMMYFUNCTION("filter('Imported Recommendations'!B:D,'Imported Recommendations'!A:A=A81)"),"So,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E81" s="10"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F81" s="10" t="str">
        <f>IFERROR(__xludf.DUMMYFUNCTION("""COMPUTED_VALUE"""),"The basics of building, testing, deploying, and monitoring should be present in a DevOps course.")</f>
        <v>The basics of building, testing, deploying, and monitoring should be present in a DevOps course.</v>
      </c>
      <c r="G81" s="7" t="s">
        <v>9</v>
      </c>
      <c r="H81" s="7"/>
      <c r="I81" s="15" t="s">
        <v>9</v>
      </c>
      <c r="J81" s="49"/>
      <c r="K81" s="4"/>
      <c r="L81" s="4"/>
      <c r="M81" s="4"/>
      <c r="N81" s="4"/>
    </row>
    <row r="82">
      <c r="A82" s="6">
        <v>89.0</v>
      </c>
      <c r="B82" s="6" t="s">
        <v>24</v>
      </c>
      <c r="C82" s="6" t="s">
        <v>31</v>
      </c>
      <c r="D82" s="10" t="str">
        <f>IFERROR(__xludf.DUMMYFUNCTION("filter('Imported Recommendations'!B:D,'Imported Recommendations'!A:A=A82)"),"During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E82" s="10" t="str">
        <f>IFERROR(__xludf.DUMMYFUNCTION("""COMPUTED_VALUE"""),"Standardize the teaching material for all classes.")</f>
        <v>Standardize the teaching material for all classes.</v>
      </c>
      <c r="F82" s="10"/>
      <c r="G82" s="7" t="s">
        <v>8</v>
      </c>
      <c r="H82" s="7"/>
      <c r="I82" s="15" t="s">
        <v>8</v>
      </c>
      <c r="J82" s="49"/>
      <c r="K82" s="4"/>
      <c r="L82" s="4"/>
      <c r="M82" s="4"/>
      <c r="N82" s="4"/>
    </row>
    <row r="83">
      <c r="A83" s="53">
        <v>90.0</v>
      </c>
      <c r="B83" s="6" t="s">
        <v>26</v>
      </c>
      <c r="C83" s="27" t="s">
        <v>31</v>
      </c>
      <c r="D83" s="10" t="str">
        <f>IFERROR(__xludf.DUMMYFUNCTION("filter('Imported Recommendations'!B:D,'Imported Recommendations'!A:A=A83)"),"Training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E83" s="35" t="str">
        <f>IFERROR(__xludf.DUMMYFUNCTION("""COMPUTED_VALUE"""),"It is necessary to choose which topics and tools are essential as the course time is limited.")</f>
        <v>It is necessary to choose which topics and tools are essential as the course time is limited.</v>
      </c>
      <c r="F83" s="35"/>
      <c r="G83" s="7" t="s">
        <v>8</v>
      </c>
      <c r="H83" s="7"/>
      <c r="I83" s="15" t="s">
        <v>8</v>
      </c>
      <c r="J83" s="49"/>
      <c r="K83" s="4"/>
      <c r="L83" s="4"/>
      <c r="M83" s="4"/>
      <c r="N83" s="4"/>
    </row>
    <row r="84">
      <c r="A84" s="6">
        <v>91.0</v>
      </c>
      <c r="B84" s="6" t="s">
        <v>27</v>
      </c>
      <c r="C84" s="6" t="s">
        <v>31</v>
      </c>
      <c r="D84" s="10" t="str">
        <f>IFERROR(__xludf.DUMMYFUNCTION("filter('Imported Recommendations'!B:D,'Imported Recommendations'!A:A=A84)"),"the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E84" s="17"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F84" s="17" t="str">
        <f>IFERROR(__xludf.DUMMYFUNCTION("""COMPUTED_VALUE"""),"Use relevant industry tools.")</f>
        <v>Use relevant industry tools.</v>
      </c>
      <c r="G84" s="7" t="s">
        <v>8</v>
      </c>
      <c r="H84" s="7"/>
      <c r="I84" s="15" t="s">
        <v>8</v>
      </c>
      <c r="J84" s="49"/>
      <c r="K84" s="4" t="s">
        <v>25</v>
      </c>
      <c r="L84" s="4" t="s">
        <v>25</v>
      </c>
      <c r="M84" s="4"/>
      <c r="N84" s="4"/>
    </row>
    <row r="85">
      <c r="A85" s="6">
        <v>94.0</v>
      </c>
      <c r="B85" s="6" t="s">
        <v>24</v>
      </c>
      <c r="C85" s="6" t="s">
        <v>31</v>
      </c>
      <c r="D85" s="10" t="str">
        <f>IFERROR(__xludf.DUMMYFUNCTION("filter('Imported Recommendations'!B:D,'Imported Recommendations'!A:A=A85)"),"Which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E85" s="17"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F85" s="17" t="str">
        <f>IFERROR(__xludf.DUMMYFUNCTION("""COMPUTED_VALUE"""),"Use the DevOps tools in simplest way.")</f>
        <v>Use the DevOps tools in simplest way.</v>
      </c>
      <c r="G85" s="7" t="s">
        <v>9</v>
      </c>
      <c r="H85" s="7"/>
      <c r="I85" s="15" t="s">
        <v>9</v>
      </c>
      <c r="J85" s="49"/>
      <c r="K85" s="4"/>
      <c r="L85" s="4"/>
      <c r="M85" s="4"/>
      <c r="N85" s="4"/>
    </row>
    <row r="86">
      <c r="A86" s="6">
        <v>92.0</v>
      </c>
      <c r="B86" s="6" t="s">
        <v>24</v>
      </c>
      <c r="C86" s="6" t="s">
        <v>31</v>
      </c>
      <c r="D86" s="10" t="str">
        <f>IFERROR(__xludf.DUMMYFUNCTION("filter('Imported Recommendations'!B:D,'Imported Recommendations'!A:A=A86)"),"Of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E86" s="10"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F86" s="10"/>
      <c r="G86" s="7" t="s">
        <v>9</v>
      </c>
      <c r="H86" s="7"/>
      <c r="I86" s="15" t="s">
        <v>9</v>
      </c>
      <c r="J86" s="49"/>
      <c r="K86" s="4"/>
      <c r="L86" s="4"/>
      <c r="M86" s="4"/>
      <c r="N86" s="4"/>
    </row>
    <row r="87">
      <c r="A87" s="53">
        <v>93.0</v>
      </c>
      <c r="B87" s="6" t="s">
        <v>26</v>
      </c>
      <c r="C87" s="27" t="s">
        <v>31</v>
      </c>
      <c r="D87" s="10" t="str">
        <f>IFERROR(__xludf.DUMMYFUNCTION("filter('Imported Recommendations'!B:D,'Imported Recommendations'!A:A=A87)"),"So, we ended up choosing Java because it is the greatest strength; ours, that was Java.")</f>
        <v>So, we ended up choosing Java because it is the greatest strength; ours, that was Java.</v>
      </c>
      <c r="E87" s="35" t="str">
        <f>IFERROR(__xludf.DUMMYFUNCTION("""COMPUTED_VALUE"""),"Use a programming language that the teacher knows.")</f>
        <v>Use a programming language that the teacher knows.</v>
      </c>
      <c r="F87" s="35"/>
      <c r="G87" s="7" t="s">
        <v>8</v>
      </c>
      <c r="H87" s="7"/>
      <c r="I87" s="15" t="s">
        <v>8</v>
      </c>
      <c r="J87" s="49"/>
      <c r="K87" s="4"/>
      <c r="L87" s="4"/>
      <c r="M87" s="4"/>
      <c r="N87" s="4"/>
    </row>
    <row r="88">
      <c r="A88" s="6">
        <v>95.0</v>
      </c>
      <c r="B88" s="6" t="s">
        <v>24</v>
      </c>
      <c r="C88" s="6" t="s">
        <v>31</v>
      </c>
      <c r="D88" s="10" t="str">
        <f>IFERROR(__xludf.DUMMYFUNCTION("filter('Imported Recommendations'!B:D,'Imported Recommendations'!A:A=A88)"),"We don't evaluate, [...] but we keep observing, right, the students, and such throughout the training.")</f>
        <v>We don't evaluate, [...] but we keep observing, right, the students, and such throughout the training.</v>
      </c>
      <c r="E88" s="10" t="str">
        <f>IFERROR(__xludf.DUMMYFUNCTION("""COMPUTED_VALUE"""),"Monitor student progress throughout training by conducting a traditional assessment.")</f>
        <v>Monitor student progress throughout training by conducting a traditional assessment.</v>
      </c>
      <c r="F88" s="10"/>
      <c r="G88" s="7" t="s">
        <v>8</v>
      </c>
      <c r="H88" s="54"/>
      <c r="I88" s="15" t="s">
        <v>8</v>
      </c>
      <c r="J88" s="49"/>
      <c r="K88" s="4" t="s">
        <v>25</v>
      </c>
      <c r="L88" s="4" t="s">
        <v>25</v>
      </c>
      <c r="M88" s="4"/>
      <c r="N88" s="4"/>
    </row>
    <row r="89">
      <c r="A89" s="53">
        <v>96.0</v>
      </c>
      <c r="B89" s="6" t="s">
        <v>26</v>
      </c>
      <c r="C89" s="27" t="s">
        <v>31</v>
      </c>
      <c r="D89" s="10" t="str">
        <f>IFERROR(__xludf.DUMMYFUNCTION("filter('Imported Recommendations'!B:D,'Imported Recommendations'!A:A=A89)"),"One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E89" s="35"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F89" s="35"/>
      <c r="G89" s="7" t="s">
        <v>9</v>
      </c>
      <c r="H89" s="7"/>
      <c r="I89" s="15" t="s">
        <v>9</v>
      </c>
      <c r="J89" s="49"/>
      <c r="K89" s="4"/>
      <c r="L89" s="4"/>
      <c r="M89" s="4"/>
      <c r="N89" s="4"/>
    </row>
    <row r="90">
      <c r="A90" s="6">
        <v>97.0</v>
      </c>
      <c r="B90" s="6" t="s">
        <v>27</v>
      </c>
      <c r="C90" s="6" t="s">
        <v>31</v>
      </c>
      <c r="D90" s="10" t="str">
        <f>IFERROR(__xludf.DUMMYFUNCTION("filter('Imported Recommendations'!B:D,'Imported Recommendations'!A:A=A90)"),"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E90" s="10"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F90" s="10" t="str">
        <f>IFERROR(__xludf.DUMMYFUNCTION("""COMPUTED_VALUE"""),"Use Agile approaches in DevOps classes.")</f>
        <v>Use Agile approaches in DevOps classes.</v>
      </c>
      <c r="G90" s="7" t="s">
        <v>9</v>
      </c>
      <c r="H90" s="7"/>
      <c r="I90" s="15" t="s">
        <v>9</v>
      </c>
      <c r="J90" s="49"/>
      <c r="K90" s="4"/>
      <c r="L90" s="4"/>
      <c r="M90" s="4"/>
      <c r="N90" s="4"/>
    </row>
    <row r="91">
      <c r="A91" s="6">
        <v>98.0</v>
      </c>
      <c r="B91" s="6" t="s">
        <v>24</v>
      </c>
      <c r="C91" s="6" t="s">
        <v>31</v>
      </c>
      <c r="D91" s="10" t="str">
        <f>IFERROR(__xludf.DUMMYFUNCTION("filter('Imported Recommendations'!B:D,'Imported Recommendations'!A:A=A91)"),"To get Everything ready to avoid problems and lose the focus and essence of the group.")</f>
        <v>To get Everything ready to avoid problems and lose the focus and essence of the group.</v>
      </c>
      <c r="E91" s="10" t="str">
        <f>IFERROR(__xludf.DUMMYFUNCTION("""COMPUTED_VALUE"""),"Start a class with a pre-organized structure.")</f>
        <v>Start a class with a pre-organized structure.</v>
      </c>
      <c r="F91" s="10"/>
      <c r="G91" s="7" t="s">
        <v>8</v>
      </c>
      <c r="H91" s="54"/>
      <c r="I91" s="15" t="s">
        <v>8</v>
      </c>
      <c r="J91" s="49"/>
      <c r="K91" s="4" t="s">
        <v>25</v>
      </c>
      <c r="L91" s="4" t="s">
        <v>25</v>
      </c>
      <c r="M91" s="4"/>
      <c r="N91" s="4"/>
    </row>
    <row r="92">
      <c r="A92" s="6">
        <v>100.0</v>
      </c>
      <c r="B92" s="6" t="s">
        <v>27</v>
      </c>
      <c r="C92" s="6" t="s">
        <v>31</v>
      </c>
      <c r="D92" s="10" t="str">
        <f>IFERROR(__xludf.DUMMYFUNCTION("filter('Imported Recommendations'!B:D,'Imported Recommendations'!A:A=A92)"),"Working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E92" s="10"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F92" s="10" t="str">
        <f>IFERROR(__xludf.DUMMYFUNCTION("""COMPUTED_VALUE"""),"Relate devops to site reliability engineering (sre) for students.")</f>
        <v>Relate devops to site reliability engineering (sre) for students.</v>
      </c>
      <c r="G92" s="7" t="s">
        <v>9</v>
      </c>
      <c r="H92" s="7"/>
      <c r="I92" s="15" t="s">
        <v>9</v>
      </c>
      <c r="J92" s="49"/>
      <c r="K92" s="4"/>
      <c r="L92" s="4"/>
      <c r="M92" s="4"/>
      <c r="N92" s="4"/>
    </row>
    <row r="93">
      <c r="A93" s="6">
        <v>103.0</v>
      </c>
      <c r="B93" s="6" t="s">
        <v>27</v>
      </c>
      <c r="C93" s="6" t="s">
        <v>31</v>
      </c>
      <c r="D93" s="10" t="str">
        <f>IFERROR(__xludf.DUMMYFUNCTION("filter('Imported Recommendations'!B:D,'Imported Recommendations'!A:A=A93)"),"To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E93" s="10" t="str">
        <f>IFERROR(__xludf.DUMMYFUNCTION("""COMPUTED_VALUE"""),"Make use of the Comprehensive Distance Learning (CDL) teaching methodology.")</f>
        <v>Make use of the Comprehensive Distance Learning (CDL) teaching methodology.</v>
      </c>
      <c r="F93" s="10"/>
      <c r="G93" s="7" t="s">
        <v>8</v>
      </c>
      <c r="H93" s="7"/>
      <c r="I93" s="15" t="s">
        <v>8</v>
      </c>
      <c r="J93" s="49"/>
      <c r="K93" s="4"/>
      <c r="L93" s="4"/>
      <c r="M93" s="4"/>
      <c r="N93" s="4"/>
    </row>
    <row r="94">
      <c r="A94" s="6">
        <v>104.0</v>
      </c>
      <c r="B94" s="6" t="s">
        <v>24</v>
      </c>
      <c r="C94" s="6" t="s">
        <v>31</v>
      </c>
      <c r="D94" s="10" t="str">
        <f>IFERROR(__xludf.DUMMYFUNCTION("filter('Imported Recommendations'!B:D,'Imported Recommendations'!A:A=A94)"),"DevOps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E94" s="10"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F94" s="10" t="str">
        <f>IFERROR(__xludf.DUMMYFUNCTION("""COMPUTED_VALUE"""),"It takes practice to understand DevOps concepts.")</f>
        <v>It takes practice to understand DevOps concepts.</v>
      </c>
      <c r="G94" s="7" t="s">
        <v>9</v>
      </c>
      <c r="H94" s="7"/>
      <c r="I94" s="15" t="s">
        <v>9</v>
      </c>
      <c r="J94" s="49"/>
      <c r="K94" s="4"/>
      <c r="L94" s="4"/>
      <c r="M94" s="4"/>
      <c r="N94" s="4"/>
    </row>
    <row r="95">
      <c r="A95" s="53">
        <v>105.0</v>
      </c>
      <c r="B95" s="6" t="s">
        <v>26</v>
      </c>
      <c r="C95" s="27" t="s">
        <v>31</v>
      </c>
      <c r="D95" s="10" t="str">
        <f>IFERROR(__xludf.DUMMYFUNCTION("filter('Imported Recommendations'!B:D,'Imported Recommendations'!A:A=A95)"),"I usually study the subject to understand and then see the best way to explain that subject.")</f>
        <v>I usually study the subject to understand and then see the best way to explain that subject.</v>
      </c>
      <c r="E95" s="35" t="str">
        <f>IFERROR(__xludf.DUMMYFUNCTION("""COMPUTED_VALUE"""),"Study the subject thoroughly before preparing for classes.")</f>
        <v>Study the subject thoroughly before preparing for classes.</v>
      </c>
      <c r="F95" s="35"/>
      <c r="G95" s="7" t="s">
        <v>8</v>
      </c>
      <c r="H95" s="7"/>
      <c r="I95" s="15" t="s">
        <v>8</v>
      </c>
      <c r="J95" s="49"/>
      <c r="K95" s="4"/>
      <c r="L95" s="4"/>
      <c r="M95" s="4"/>
      <c r="N95" s="4"/>
    </row>
    <row r="96">
      <c r="A96" s="6">
        <v>106.0</v>
      </c>
      <c r="B96" s="6" t="s">
        <v>27</v>
      </c>
      <c r="C96" s="6" t="s">
        <v>31</v>
      </c>
      <c r="D96" s="10" t="str">
        <f>IFERROR(__xludf.DUMMYFUNCTION("filter('Imported Recommendations'!B:D,'Imported Recommendations'!A:A=A96)"),"You propose the dynamics and have these things move the group because otherwise, it gets so dull.")</f>
        <v>You propose the dynamics and have these things move the group because otherwise, it gets so dull.</v>
      </c>
      <c r="E96" s="10" t="str">
        <f>IFERROR(__xludf.DUMMYFUNCTION("""COMPUTED_VALUE"""),"Use dynamics to inspire the class.")</f>
        <v>Use dynamics to inspire the class.</v>
      </c>
      <c r="F96" s="10"/>
      <c r="G96" s="7" t="s">
        <v>8</v>
      </c>
      <c r="H96" s="7"/>
      <c r="I96" s="15" t="s">
        <v>8</v>
      </c>
      <c r="J96" s="49"/>
      <c r="K96" s="4"/>
      <c r="L96" s="4"/>
      <c r="M96" s="4"/>
      <c r="N96" s="4"/>
    </row>
    <row r="97">
      <c r="A97" s="53">
        <v>108.0</v>
      </c>
      <c r="B97" s="6" t="s">
        <v>26</v>
      </c>
      <c r="C97" s="27" t="s">
        <v>31</v>
      </c>
      <c r="D97" s="10" t="str">
        <f>IFERROR(__xludf.DUMMYFUNCTION("filter('Imported Recommendations'!B:D,'Imported Recommendations'!A:A=A97)"),"I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E97" s="35"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F97" s="35"/>
      <c r="G97" s="7" t="s">
        <v>9</v>
      </c>
      <c r="H97" s="7"/>
      <c r="I97" s="15" t="s">
        <v>9</v>
      </c>
      <c r="J97" s="49"/>
      <c r="K97" s="4"/>
      <c r="L97" s="4"/>
      <c r="M97" s="4"/>
      <c r="N97" s="4"/>
    </row>
    <row r="98">
      <c r="A98" s="6">
        <v>109.0</v>
      </c>
      <c r="B98" s="6" t="s">
        <v>27</v>
      </c>
      <c r="C98" s="6" t="s">
        <v>31</v>
      </c>
      <c r="D98" s="10" t="str">
        <f>IFERROR(__xludf.DUMMYFUNCTION("filter('Imported Recommendations'!B:D,'Imported Recommendations'!A:A=A98)"),"Some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E98" s="10"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F98" s="10" t="str">
        <f>IFERROR(__xludf.DUMMYFUNCTION("""COMPUTED_VALUE"""),"Teacher assistants help in the assessment process.")</f>
        <v>Teacher assistants help in the assessment process.</v>
      </c>
      <c r="G98" s="7" t="s">
        <v>8</v>
      </c>
      <c r="H98" s="7"/>
      <c r="I98" s="15" t="s">
        <v>8</v>
      </c>
      <c r="J98" s="49"/>
      <c r="K98" s="4"/>
      <c r="L98" s="4"/>
      <c r="M98" s="4"/>
      <c r="N98" s="4"/>
    </row>
    <row r="99">
      <c r="A99" s="6">
        <v>110.0</v>
      </c>
      <c r="B99" s="6" t="s">
        <v>24</v>
      </c>
      <c r="C99" s="6" t="s">
        <v>31</v>
      </c>
      <c r="D99" s="10" t="str">
        <f>IFERROR(__xludf.DUMMYFUNCTION("filter('Imported Recommendations'!B:D,'Imported Recommendations'!A:A=A99)"),"Because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E99" s="17"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F99" s="17" t="str">
        <f>IFERROR(__xludf.DUMMYFUNCTION("""COMPUTED_VALUE"""),"Promote students' independent decision-making in the learning process.")</f>
        <v>Promote students' independent decision-making in the learning process.</v>
      </c>
      <c r="G99" s="7" t="s">
        <v>8</v>
      </c>
      <c r="H99" s="7"/>
      <c r="I99" s="15" t="s">
        <v>8</v>
      </c>
      <c r="J99" s="49"/>
      <c r="K99" s="4"/>
      <c r="L99" s="4"/>
      <c r="M99" s="4"/>
      <c r="N99" s="4"/>
    </row>
    <row r="100">
      <c r="A100" s="53">
        <v>111.0</v>
      </c>
      <c r="B100" s="6" t="s">
        <v>26</v>
      </c>
      <c r="C100" s="27" t="s">
        <v>31</v>
      </c>
      <c r="D100" s="10" t="str">
        <f>IFERROR(__xludf.DUMMYFUNCTION("filter('Imported Recommendations'!B:D,'Imported Recommendations'!A:A=A100)"),"I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E100" s="35"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F100" s="35" t="str">
        <f>IFERROR(__xludf.DUMMYFUNCTION("""COMPUTED_VALUE"""),"Use other DevOps courses as a reference.
")</f>
        <v>Use other DevOps courses as a reference.
</v>
      </c>
      <c r="G100" s="7" t="s">
        <v>9</v>
      </c>
      <c r="H100" s="7"/>
      <c r="I100" s="15" t="s">
        <v>9</v>
      </c>
      <c r="J100" s="49"/>
      <c r="K100" s="4"/>
      <c r="L100" s="4"/>
      <c r="M100" s="4"/>
      <c r="N100" s="4"/>
    </row>
    <row r="101">
      <c r="A101" s="6">
        <v>112.0</v>
      </c>
      <c r="B101" s="6" t="s">
        <v>27</v>
      </c>
      <c r="C101" s="6" t="s">
        <v>31</v>
      </c>
      <c r="D101" s="10" t="str">
        <f>IFERROR(__xludf.DUMMYFUNCTION("filter('Imported Recommendations'!B:D,'Imported Recommendations'!A:A=A101)"),"PBL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E101" s="10"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F101" s="10" t="str">
        <f>IFERROR(__xludf.DUMMYFUNCTION("""COMPUTED_VALUE"""),"Problem-Based Learning (PBL) is great for teaching DevOps.")</f>
        <v>Problem-Based Learning (PBL) is great for teaching DevOps.</v>
      </c>
      <c r="G101" s="7" t="s">
        <v>9</v>
      </c>
      <c r="H101" s="7"/>
      <c r="I101" s="15" t="s">
        <v>8</v>
      </c>
      <c r="J101" s="49"/>
      <c r="K101" s="4" t="s">
        <v>25</v>
      </c>
      <c r="L101" s="4"/>
      <c r="M101" s="4" t="s">
        <v>28</v>
      </c>
      <c r="N101" s="4"/>
    </row>
    <row r="102">
      <c r="A102" s="6">
        <v>113.0</v>
      </c>
      <c r="B102" s="6" t="s">
        <v>24</v>
      </c>
      <c r="C102" s="6" t="s">
        <v>31</v>
      </c>
      <c r="D102" s="10" t="str">
        <f>IFERROR(__xludf.DUMMYFUNCTION("filter('Imported Recommendations'!B:D,'Imported Recommendations'!A:A=A102)"),"Today,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E102" s="10" t="str">
        <f>IFERROR(__xludf.DUMMYFUNCTION("""COMPUTED_VALUE"""),"Merge good practices of Problem-Based Learning (PBL), inverted class and Agile, through classroom experimentation.")</f>
        <v>Merge good practices of Problem-Based Learning (PBL), inverted class and Agile, through classroom experimentation.</v>
      </c>
      <c r="F102" s="10"/>
      <c r="G102" s="7" t="s">
        <v>8</v>
      </c>
      <c r="H102" s="54"/>
      <c r="I102" s="15" t="s">
        <v>8</v>
      </c>
      <c r="J102" s="49"/>
      <c r="K102" s="4" t="s">
        <v>25</v>
      </c>
      <c r="L102" s="4" t="s">
        <v>25</v>
      </c>
      <c r="M102" s="4"/>
      <c r="N102" s="4"/>
    </row>
    <row r="103">
      <c r="A103" s="53">
        <v>114.0</v>
      </c>
      <c r="B103" s="27" t="s">
        <v>27</v>
      </c>
      <c r="C103" s="27" t="s">
        <v>31</v>
      </c>
      <c r="D103" s="10" t="str">
        <f>IFERROR(__xludf.DUMMYFUNCTION("filter('Imported Recommendations'!B:D,'Imported Recommendations'!A:A=A103)"),"I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E103" s="35"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F103" s="35" t="str">
        <f>IFERROR(__xludf.DUMMYFUNCTION("""COMPUTED_VALUE"""),"Organize the students into teams.")</f>
        <v>Organize the students into teams.</v>
      </c>
      <c r="G103" s="7" t="s">
        <v>8</v>
      </c>
      <c r="H103" s="54"/>
      <c r="I103" s="15" t="s">
        <v>8</v>
      </c>
      <c r="J103" s="49"/>
      <c r="K103" s="4"/>
      <c r="L103" s="4"/>
      <c r="M103" s="4"/>
      <c r="N103" s="4"/>
    </row>
    <row r="104">
      <c r="A104" s="53">
        <v>115.0</v>
      </c>
      <c r="B104" s="27" t="s">
        <v>24</v>
      </c>
      <c r="C104" s="27" t="s">
        <v>31</v>
      </c>
      <c r="D104" s="10" t="str">
        <f>IFERROR(__xludf.DUMMYFUNCTION("filter('Imported Recommendations'!B:D,'Imported Recommendations'!A:A=A104)"),"And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E104" s="35"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F104" s="35" t="str">
        <f>IFERROR(__xludf.DUMMYFUNCTION("""COMPUTED_VALUE"""),"Do agile planning with sprints.")</f>
        <v>Do agile planning with sprints.</v>
      </c>
      <c r="G104" s="7" t="s">
        <v>8</v>
      </c>
      <c r="H104" s="54"/>
      <c r="I104" s="15" t="s">
        <v>8</v>
      </c>
      <c r="J104" s="49"/>
      <c r="K104" s="4" t="s">
        <v>25</v>
      </c>
      <c r="L104" s="4" t="s">
        <v>25</v>
      </c>
      <c r="M104" s="4"/>
      <c r="N104" s="4"/>
    </row>
    <row r="105">
      <c r="A105" s="53">
        <v>116.0</v>
      </c>
      <c r="B105" s="27" t="s">
        <v>26</v>
      </c>
      <c r="C105" s="27" t="s">
        <v>31</v>
      </c>
      <c r="D105" s="10" t="str">
        <f>IFERROR(__xludf.DUMMYFUNCTION("filter('Imported Recommendations'!B:D,'Imported Recommendations'!A:A=A105)"),"Those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E105" s="35"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F105" s="25" t="str">
        <f>IFERROR(__xludf.DUMMYFUNCTION("""COMPUTED_VALUE"""),"Teach just enough of DevOps tools to get the students going so they can learn in the right context. ")</f>
        <v>Teach just enough of DevOps tools to get the students going so they can learn in the right context. </v>
      </c>
      <c r="G105" s="7" t="s">
        <v>9</v>
      </c>
      <c r="H105" s="54"/>
      <c r="I105" s="15" t="s">
        <v>9</v>
      </c>
      <c r="J105" s="49"/>
      <c r="K105" s="4" t="s">
        <v>25</v>
      </c>
      <c r="L105" s="4" t="s">
        <v>25</v>
      </c>
      <c r="M105" s="4"/>
      <c r="N105" s="4"/>
    </row>
    <row r="106">
      <c r="A106" s="53">
        <v>117.0</v>
      </c>
      <c r="B106" s="27" t="s">
        <v>27</v>
      </c>
      <c r="C106" s="27" t="s">
        <v>31</v>
      </c>
      <c r="D106" s="10" t="str">
        <f>IFERROR(__xludf.DUMMYFUNCTION("filter('Imported Recommendations'!B:D,'Imported Recommendations'!A:A=A106)"),"I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E106" s="35"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F106" s="35" t="str">
        <f>IFERROR(__xludf.DUMMYFUNCTION("""COMPUTED_VALUE"""),"Provide fast feedback to the students.")</f>
        <v>Provide fast feedback to the students.</v>
      </c>
      <c r="G106" s="7" t="s">
        <v>8</v>
      </c>
      <c r="H106" s="54"/>
      <c r="I106" s="15" t="s">
        <v>8</v>
      </c>
      <c r="J106" s="49"/>
      <c r="K106" s="4"/>
      <c r="L106" s="4"/>
      <c r="M106" s="4"/>
      <c r="N106" s="4"/>
    </row>
    <row r="107">
      <c r="A107" s="53">
        <v>118.0</v>
      </c>
      <c r="B107" s="27" t="s">
        <v>24</v>
      </c>
      <c r="C107" s="27" t="s">
        <v>31</v>
      </c>
      <c r="D107" s="10" t="str">
        <f>IFERROR(__xludf.DUMMYFUNCTION("filter('Imported Recommendations'!B:D,'Imported Recommendations'!A:A=A107)"),"I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E107" s="35"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F107" s="35" t="str">
        <f>IFERROR(__xludf.DUMMYFUNCTION("""COMPUTED_VALUE"""),"Don't give the solution right away.")</f>
        <v>Don't give the solution right away.</v>
      </c>
      <c r="G107" s="7" t="s">
        <v>8</v>
      </c>
      <c r="H107" s="54"/>
      <c r="I107" s="15" t="s">
        <v>8</v>
      </c>
      <c r="J107" s="49"/>
      <c r="K107" s="4" t="s">
        <v>25</v>
      </c>
      <c r="L107" s="4" t="s">
        <v>25</v>
      </c>
      <c r="M107" s="4"/>
      <c r="N107" s="4"/>
    </row>
    <row r="108">
      <c r="A108" s="53">
        <v>119.0</v>
      </c>
      <c r="B108" s="27" t="s">
        <v>26</v>
      </c>
      <c r="C108" s="27" t="s">
        <v>31</v>
      </c>
      <c r="D108" s="10" t="str">
        <f>IFERROR(__xludf.DUMMYFUNCTION("filter('Imported Recommendations'!B:D,'Imported Recommendations'!A:A=A108)"),"I'll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E108" s="35"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F108" s="35"/>
      <c r="G108" s="7" t="s">
        <v>9</v>
      </c>
      <c r="H108" s="54"/>
      <c r="I108" s="15" t="s">
        <v>9</v>
      </c>
      <c r="J108" s="49"/>
      <c r="K108" s="4"/>
      <c r="L108" s="4"/>
      <c r="M108" s="4"/>
      <c r="N108" s="4"/>
    </row>
    <row r="109">
      <c r="A109" s="53">
        <v>120.0</v>
      </c>
      <c r="B109" s="27" t="s">
        <v>27</v>
      </c>
      <c r="C109" s="27" t="s">
        <v>31</v>
      </c>
      <c r="D109" s="10" t="str">
        <f>IFERROR(__xludf.DUMMYFUNCTION("filter('Imported Recommendations'!B:D,'Imported Recommendations'!A:A=A109)"),"So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E109" s="35"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F109" s="35" t="str">
        <f>IFERROR(__xludf.DUMMYFUNCTION("""COMPUTED_VALUE"""),"Make the group motivation a responsibility of themselves.")</f>
        <v>Make the group motivation a responsibility of themselves.</v>
      </c>
      <c r="G109" s="7" t="s">
        <v>8</v>
      </c>
      <c r="H109" s="54"/>
      <c r="I109" s="15" t="s">
        <v>8</v>
      </c>
      <c r="J109" s="49"/>
      <c r="K109" s="4"/>
      <c r="L109" s="4"/>
      <c r="M109" s="4"/>
      <c r="N109" s="4"/>
    </row>
    <row r="110">
      <c r="A110" s="53">
        <v>121.0</v>
      </c>
      <c r="B110" s="27" t="s">
        <v>24</v>
      </c>
      <c r="C110" s="27" t="s">
        <v>31</v>
      </c>
      <c r="D110" s="10" t="str">
        <f>IFERROR(__xludf.DUMMYFUNCTION("filter('Imported Recommendations'!B:D,'Imported Recommendations'!A:A=A110)"),"Do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E110" s="35" t="str">
        <f>IFERROR(__xludf.DUMMYFUNCTION("""COMPUTED_VALUE"""),"It'd be great if there was a Cloud course before DevOps course.
Prepare students with previous courses.")</f>
        <v>It'd be great if there was a Cloud course before DevOps course.
Prepare students with previous courses.</v>
      </c>
      <c r="F110" s="25" t="str">
        <f>IFERROR(__xludf.DUMMYFUNCTION("""COMPUTED_VALUE"""),"Prepare students with previous courses that teach related DevOps concepts.")</f>
        <v>Prepare students with previous courses that teach related DevOps concepts.</v>
      </c>
      <c r="G110" s="7" t="s">
        <v>9</v>
      </c>
      <c r="H110" s="54"/>
      <c r="I110" s="15" t="s">
        <v>9</v>
      </c>
      <c r="J110" s="49"/>
      <c r="K110" s="4" t="s">
        <v>25</v>
      </c>
      <c r="L110" s="4" t="s">
        <v>25</v>
      </c>
      <c r="M110" s="4"/>
      <c r="N110" s="4"/>
    </row>
    <row r="111">
      <c r="A111" s="53">
        <v>122.0</v>
      </c>
      <c r="B111" s="27" t="s">
        <v>26</v>
      </c>
      <c r="C111" s="27" t="s">
        <v>31</v>
      </c>
      <c r="D111" s="10" t="str">
        <f>IFERROR(__xludf.DUMMYFUNCTION("filter('Imported Recommendations'!B:D,'Imported Recommendations'!A:A=A111)"),"so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E111" s="35" t="str">
        <f>IFERROR(__xludf.DUMMYFUNCTION("""COMPUTED_VALUE"""),"Use Linux operational system.")</f>
        <v>Use Linux operational system.</v>
      </c>
      <c r="F111" s="35"/>
      <c r="G111" s="7" t="s">
        <v>8</v>
      </c>
      <c r="H111" s="54"/>
      <c r="I111" s="15" t="s">
        <v>8</v>
      </c>
      <c r="J111" s="49"/>
      <c r="K111" s="4"/>
      <c r="L111" s="4"/>
      <c r="M111" s="4"/>
      <c r="N111" s="4"/>
    </row>
    <row r="112">
      <c r="A112" s="53">
        <v>123.0</v>
      </c>
      <c r="B112" s="27" t="s">
        <v>27</v>
      </c>
      <c r="C112" s="27" t="s">
        <v>31</v>
      </c>
      <c r="D112" s="10" t="str">
        <f>IFERROR(__xludf.DUMMYFUNCTION("filter('Imported Recommendations'!B:D,'Imported Recommendations'!A:A=A112)"),"We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E112" s="25"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F112" s="38" t="str">
        <f>IFERROR(__xludf.DUMMYFUNCTION("""COMPUTED_VALUE"""),"Vagrant and VirtualBox tools are free and useful to create consistent development environment between students.")</f>
        <v>Vagrant and VirtualBox tools are free and useful to create consistent development environment between students.</v>
      </c>
      <c r="G112" s="7" t="s">
        <v>9</v>
      </c>
      <c r="H112" s="54"/>
      <c r="I112" s="15" t="s">
        <v>9</v>
      </c>
      <c r="J112" s="49"/>
      <c r="K112" s="4" t="s">
        <v>25</v>
      </c>
      <c r="L112" s="4" t="s">
        <v>25</v>
      </c>
      <c r="M112" s="4"/>
      <c r="N112" s="4"/>
    </row>
    <row r="113">
      <c r="A113" s="53">
        <v>124.0</v>
      </c>
      <c r="B113" s="27" t="s">
        <v>24</v>
      </c>
      <c r="C113" s="27" t="s">
        <v>31</v>
      </c>
      <c r="D113" s="10" t="str">
        <f>IFERROR(__xludf.DUMMYFUNCTION("filter('Imported Recommendations'!B:D,'Imported Recommendations'!A:A=A113)"),"I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13" s="35"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F113" s="39" t="str">
        <f>IFERROR(__xludf.DUMMYFUNCTION("""COMPUTED_VALUE"""),"Docker can be chosen as DevOps tool.")</f>
        <v>Docker can be chosen as DevOps tool.</v>
      </c>
      <c r="G113" s="7" t="s">
        <v>9</v>
      </c>
      <c r="H113" s="54"/>
      <c r="I113" s="15" t="s">
        <v>9</v>
      </c>
      <c r="J113" s="49"/>
      <c r="K113" s="4"/>
      <c r="L113" s="4"/>
      <c r="M113" s="4"/>
      <c r="N113" s="4"/>
    </row>
    <row r="114">
      <c r="A114" s="53">
        <v>125.0</v>
      </c>
      <c r="B114" s="27" t="s">
        <v>26</v>
      </c>
      <c r="C114" s="27" t="s">
        <v>31</v>
      </c>
      <c r="D114" s="10" t="str">
        <f>IFERROR(__xludf.DUMMYFUNCTION("filter('Imported Recommendations'!B:D,'Imported Recommendations'!A:A=A114)"),"We use selenium to, to work on the, uh, on the UI, as a browser.
We use Selenium for test automation.")</f>
        <v>We use selenium to, to work on the, uh, on the UI, as a browser.
We use Selenium for test automation.</v>
      </c>
      <c r="E114" s="35" t="str">
        <f>IFERROR(__xludf.DUMMYFUNCTION("""COMPUTED_VALUE"""),"Use Selenium to automate UI tests.
Use Selenium for test automation.")</f>
        <v>Use Selenium to automate UI tests.
Use Selenium for test automation.</v>
      </c>
      <c r="F114" s="35" t="str">
        <f>IFERROR(__xludf.DUMMYFUNCTION("""COMPUTED_VALUE"""),"Use Selenium for UI test automation.")</f>
        <v>Use Selenium for UI test automation.</v>
      </c>
      <c r="G114" s="7" t="s">
        <v>8</v>
      </c>
      <c r="H114" s="54"/>
      <c r="I114" s="15" t="s">
        <v>8</v>
      </c>
      <c r="J114" s="49"/>
      <c r="K114" s="4"/>
      <c r="L114" s="4"/>
      <c r="M114" s="4"/>
      <c r="N114" s="4"/>
    </row>
    <row r="115">
      <c r="A115" s="53">
        <v>126.0</v>
      </c>
      <c r="B115" s="27" t="s">
        <v>27</v>
      </c>
      <c r="C115" s="27" t="s">
        <v>31</v>
      </c>
      <c r="D115" s="10" t="str">
        <f>IFERROR(__xludf.DUMMYFUNCTION("filter('Imported Recommendations'!B:D,'Imported Recommendations'!A:A=A115)"),"Students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E115" s="25"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F115" s="25" t="str">
        <f>IFERROR(__xludf.DUMMYFUNCTION("""COMPUTED_VALUE"""),"Do not force the technology stack used by students in their systems.")</f>
        <v>Do not force the technology stack used by students in their systems.</v>
      </c>
      <c r="G115" s="7" t="s">
        <v>9</v>
      </c>
      <c r="H115" s="54"/>
      <c r="I115" s="15" t="s">
        <v>8</v>
      </c>
      <c r="J115" s="49"/>
      <c r="K115" s="4" t="s">
        <v>25</v>
      </c>
      <c r="L115" s="4"/>
      <c r="M115" s="4" t="s">
        <v>29</v>
      </c>
      <c r="N115" s="55" t="s">
        <v>30</v>
      </c>
    </row>
    <row r="116">
      <c r="A116" s="53">
        <v>127.0</v>
      </c>
      <c r="B116" s="27" t="s">
        <v>24</v>
      </c>
      <c r="C116" s="27" t="s">
        <v>31</v>
      </c>
      <c r="D116" s="10" t="str">
        <f>IFERROR(__xludf.DUMMYFUNCTION("filter('Imported Recommendations'!B:D,'Imported Recommendations'!A:A=A116)"),"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E116" s="35" t="str">
        <f>IFERROR(__xludf.DUMMYFUNCTION("""COMPUTED_VALUE"""),"Argo CD is a more current continuous delivery tool than Jenkins.")</f>
        <v>Argo CD is a more current continuous delivery tool than Jenkins.</v>
      </c>
      <c r="F116" s="35"/>
      <c r="G116" s="7" t="s">
        <v>9</v>
      </c>
      <c r="H116" s="54"/>
      <c r="I116" s="15" t="s">
        <v>9</v>
      </c>
      <c r="J116" s="49"/>
      <c r="K116" s="4"/>
      <c r="L116" s="4"/>
      <c r="M116" s="4"/>
      <c r="N116" s="4"/>
    </row>
    <row r="117">
      <c r="A117" s="53">
        <v>128.0</v>
      </c>
      <c r="B117" s="27" t="s">
        <v>26</v>
      </c>
      <c r="C117" s="27" t="s">
        <v>31</v>
      </c>
      <c r="D117" s="10" t="str">
        <f>IFERROR(__xludf.DUMMYFUNCTION("filter('Imported Recommendations'!B:D,'Imported Recommendations'!A:A=A117)"),"I'm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E117" s="35"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F117" s="35" t="str">
        <f>IFERROR(__xludf.DUMMYFUNCTION("""COMPUTED_VALUE"""),"Teach Kanban board.")</f>
        <v>Teach Kanban board.</v>
      </c>
      <c r="G117" s="7" t="s">
        <v>8</v>
      </c>
      <c r="H117" s="54"/>
      <c r="I117" s="15" t="s">
        <v>8</v>
      </c>
      <c r="J117" s="49"/>
      <c r="K117" s="4" t="s">
        <v>25</v>
      </c>
      <c r="L117" s="7" t="s">
        <v>25</v>
      </c>
      <c r="M117" s="4"/>
      <c r="N117" s="4"/>
    </row>
    <row r="118">
      <c r="A118" s="53">
        <v>129.0</v>
      </c>
      <c r="B118" s="27" t="s">
        <v>27</v>
      </c>
      <c r="C118" s="27" t="s">
        <v>31</v>
      </c>
      <c r="D118" s="10" t="str">
        <f>IFERROR(__xludf.DUMMYFUNCTION("filter('Imported Recommendations'!B:D,'Imported Recommendations'!A:A=A118)"),"I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E118" s="35"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F118" s="35"/>
      <c r="G118" s="7" t="s">
        <v>8</v>
      </c>
      <c r="H118" s="54"/>
      <c r="I118" s="15" t="s">
        <v>8</v>
      </c>
      <c r="J118" s="49"/>
      <c r="K118" s="4"/>
      <c r="L118" s="4"/>
      <c r="M118" s="4"/>
      <c r="N118" s="4"/>
    </row>
    <row r="119">
      <c r="A119" s="53">
        <v>130.0</v>
      </c>
      <c r="B119" s="27" t="s">
        <v>24</v>
      </c>
      <c r="C119" s="27" t="s">
        <v>31</v>
      </c>
      <c r="D119" s="10" t="str">
        <f>IFERROR(__xludf.DUMMYFUNCTION("filter('Imported Recommendations'!B:D,'Imported Recommendations'!A:A=A119)"),"So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E119" s="35"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F119" s="35" t="str">
        <f>IFERROR(__xludf.DUMMYFUNCTION("""COMPUTED_VALUE"""),"Teacher assistence help students over managing questions.")</f>
        <v>Teacher assistence help students over managing questions.</v>
      </c>
      <c r="G119" s="7" t="s">
        <v>8</v>
      </c>
      <c r="H119" s="54"/>
      <c r="I119" s="15" t="s">
        <v>8</v>
      </c>
      <c r="J119" s="49"/>
      <c r="K119" s="4"/>
      <c r="L119" s="4"/>
      <c r="M119" s="4"/>
      <c r="N119" s="4"/>
    </row>
    <row r="120">
      <c r="A120" s="53">
        <v>131.0</v>
      </c>
      <c r="B120" s="27" t="s">
        <v>26</v>
      </c>
      <c r="C120" s="27" t="s">
        <v>31</v>
      </c>
      <c r="D120" s="10" t="str">
        <f>IFERROR(__xludf.DUMMYFUNCTION("filter('Imported Recommendations'!B:D,'Imported Recommendations'!A:A=A120)"),"Then I give them two exams. So the team is 40% of their grade. The exams are 60% a midterm that's 30 and a, and a final that's 30.")</f>
        <v>Then I give them two exams. So the team is 40% of their grade. The exams are 60% a midterm that's 30 and a, and a final that's 30.</v>
      </c>
      <c r="E120" s="35" t="str">
        <f>IFERROR(__xludf.DUMMYFUNCTION("""COMPUTED_VALUE"""),"So the team is 40% of their grade. The exams are 60% a midterm that's 30 and a, and a final that's 30.")</f>
        <v>So the team is 40% of their grade. The exams are 60% a midterm that's 30 and a, and a final that's 30.</v>
      </c>
      <c r="F120" s="35"/>
      <c r="G120" s="7" t="s">
        <v>8</v>
      </c>
      <c r="H120" s="54"/>
      <c r="I120" s="15" t="s">
        <v>8</v>
      </c>
      <c r="J120" s="49"/>
      <c r="K120" s="4"/>
      <c r="L120" s="4"/>
      <c r="M120" s="4"/>
      <c r="N120" s="4"/>
    </row>
    <row r="121">
      <c r="A121" s="53">
        <v>132.0</v>
      </c>
      <c r="B121" s="27" t="s">
        <v>27</v>
      </c>
      <c r="C121" s="27" t="s">
        <v>31</v>
      </c>
      <c r="D121" s="10" t="str">
        <f>IFERROR(__xludf.DUMMYFUNCTION("filter('Imported Recommendations'!B:D,'Imported Recommendations'!A:A=A121)"),"I try to get the student more engaged.... If they're not having fun, then we're, we're doing it wrong. So, so I'm making sure they're having fun.")</f>
        <v>I try to get the student more engaged.... If they're not having fun, then we're, we're doing it wrong. So, so I'm making sure they're having fun.</v>
      </c>
      <c r="E121" s="35" t="str">
        <f>IFERROR(__xludf.DUMMYFUNCTION("""COMPUTED_VALUE"""),"Try to get the student having fun in order to keep them engaged.")</f>
        <v>Try to get the student having fun in order to keep them engaged.</v>
      </c>
      <c r="F121" s="35"/>
      <c r="G121" s="7" t="s">
        <v>8</v>
      </c>
      <c r="H121" s="54"/>
      <c r="I121" s="15" t="s">
        <v>8</v>
      </c>
      <c r="J121" s="49"/>
      <c r="K121" s="4"/>
      <c r="L121" s="4"/>
      <c r="M121" s="4"/>
      <c r="N121" s="4"/>
    </row>
    <row r="122">
      <c r="A122" s="53">
        <v>133.0</v>
      </c>
      <c r="B122" s="27" t="s">
        <v>24</v>
      </c>
      <c r="C122" s="27" t="s">
        <v>31</v>
      </c>
      <c r="D122" s="10" t="str">
        <f>IFERROR(__xludf.DUMMYFUNCTION("filter('Imported Recommendations'!B:D,'Imported Recommendations'!A:A=A122)"),"In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E122" s="35"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F122" s="35" t="str">
        <f>IFERROR(__xludf.DUMMYFUNCTION("""COMPUTED_VALUE"""),"Use quiz with multiple choices to assess the students.")</f>
        <v>Use quiz with multiple choices to assess the students.</v>
      </c>
      <c r="G122" s="7" t="s">
        <v>8</v>
      </c>
      <c r="H122" s="54"/>
      <c r="I122" s="15" t="s">
        <v>8</v>
      </c>
      <c r="J122" s="49"/>
      <c r="K122" s="4"/>
      <c r="L122" s="4"/>
      <c r="M122" s="4"/>
      <c r="N122" s="4"/>
    </row>
    <row r="123">
      <c r="A123" s="53">
        <v>134.0</v>
      </c>
      <c r="B123" s="27" t="s">
        <v>26</v>
      </c>
      <c r="C123" s="27" t="s">
        <v>31</v>
      </c>
      <c r="D123" s="10" t="str">
        <f>IFERROR(__xludf.DUMMYFUNCTION("filter('Imported Recommendations'!B:D,'Imported Recommendations'!A:A=A123)"),"the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E123" s="35" t="str">
        <f>IFERROR(__xludf.DUMMYFUNCTION("""COMPUTED_VALUE"""),"Exams in remote class format are with the open book.")</f>
        <v>Exams in remote class format are with the open book.</v>
      </c>
      <c r="F123" s="35"/>
      <c r="G123" s="7" t="s">
        <v>8</v>
      </c>
      <c r="H123" s="54"/>
      <c r="I123" s="15" t="s">
        <v>8</v>
      </c>
      <c r="J123" s="49"/>
      <c r="K123" s="4"/>
      <c r="L123" s="4"/>
      <c r="M123" s="4"/>
      <c r="N123" s="4"/>
    </row>
    <row r="124">
      <c r="A124" s="53">
        <v>136.0</v>
      </c>
      <c r="B124" s="27" t="s">
        <v>24</v>
      </c>
      <c r="C124" s="27" t="s">
        <v>31</v>
      </c>
      <c r="D124" s="10" t="str">
        <f>IFERROR(__xludf.DUMMYFUNCTION("filter('Imported Recommendations'!B:D,'Imported Recommendations'!A:A=A124)"),"we had cloud computing, where can easily stand up virtual machines for people and things like that.")</f>
        <v>we had cloud computing, where can easily stand up virtual machines for people and things like that.</v>
      </c>
      <c r="E124" s="35" t="str">
        <f>IFERROR(__xludf.DUMMYFUNCTION("""COMPUTED_VALUE"""),"Cloud computing make easier to stand up virtual machines.")</f>
        <v>Cloud computing make easier to stand up virtual machines.</v>
      </c>
      <c r="F124" s="35"/>
      <c r="G124" s="7" t="s">
        <v>8</v>
      </c>
      <c r="H124" s="54"/>
      <c r="I124" s="15" t="s">
        <v>8</v>
      </c>
      <c r="J124" s="49"/>
      <c r="K124" s="4" t="s">
        <v>25</v>
      </c>
      <c r="L124" s="4" t="s">
        <v>25</v>
      </c>
      <c r="M124" s="4"/>
      <c r="N124" s="4"/>
    </row>
    <row r="125">
      <c r="A125" s="53">
        <v>137.0</v>
      </c>
      <c r="B125" s="27" t="s">
        <v>26</v>
      </c>
      <c r="C125" s="27" t="s">
        <v>31</v>
      </c>
      <c r="D125" s="10" t="str">
        <f>IFERROR(__xludf.DUMMYFUNCTION("filter('Imported Recommendations'!B:D,'Imported Recommendations'!A:A=A125)"),"People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E125" s="35"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F125" s="35" t="str">
        <f>IFERROR(__xludf.DUMMYFUNCTION("""COMPUTED_VALUE"""),"Continuous improvement is a key DevOps concept.")</f>
        <v>Continuous improvement is a key DevOps concept.</v>
      </c>
      <c r="G125" s="7" t="s">
        <v>9</v>
      </c>
      <c r="H125" s="54"/>
      <c r="I125" s="15" t="s">
        <v>9</v>
      </c>
      <c r="J125" s="49"/>
      <c r="K125" s="4"/>
      <c r="L125" s="4"/>
      <c r="M125" s="4"/>
      <c r="N125" s="4"/>
    </row>
    <row r="126">
      <c r="A126" s="53">
        <v>138.0</v>
      </c>
      <c r="B126" s="27" t="s">
        <v>27</v>
      </c>
      <c r="C126" s="27" t="s">
        <v>31</v>
      </c>
      <c r="D126" s="10" t="str">
        <f>IFERROR(__xludf.DUMMYFUNCTION("filter('Imported Recommendations'!B:D,'Imported Recommendations'!A:A=A126)"),"I'm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E126" s="35" t="str">
        <f>IFERROR(__xludf.DUMMYFUNCTION("""COMPUTED_VALUE"""),"Use imagens that contain everything that the teacher wants to teach to clone virtual machines.")</f>
        <v>Use imagens that contain everything that the teacher wants to teach to clone virtual machines.</v>
      </c>
      <c r="F126" s="35"/>
      <c r="G126" s="7" t="s">
        <v>9</v>
      </c>
      <c r="H126" s="54"/>
      <c r="I126" s="15" t="s">
        <v>8</v>
      </c>
      <c r="J126" s="49"/>
      <c r="K126" s="4" t="s">
        <v>25</v>
      </c>
      <c r="L126" s="4"/>
      <c r="M126" s="4" t="s">
        <v>28</v>
      </c>
      <c r="N126" s="55" t="s">
        <v>30</v>
      </c>
    </row>
    <row r="127">
      <c r="A127" s="53">
        <v>139.0</v>
      </c>
      <c r="B127" s="27" t="s">
        <v>24</v>
      </c>
      <c r="C127" s="27" t="s">
        <v>31</v>
      </c>
      <c r="D127" s="10" t="str">
        <f>IFERROR(__xludf.DUMMYFUNCTION("filter('Imported Recommendations'!B:D,'Imported Recommendations'!A:A=A127)"),"I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E127" s="35" t="str">
        <f>IFERROR(__xludf.DUMMYFUNCTION("""COMPUTED_VALUE"""),"Use Github for academic use where you can set up GitHub classrooms.")</f>
        <v>Use Github for academic use where you can set up GitHub classrooms.</v>
      </c>
      <c r="F127" s="35"/>
      <c r="G127" s="7" t="s">
        <v>8</v>
      </c>
      <c r="H127" s="54"/>
      <c r="I127" s="15" t="s">
        <v>8</v>
      </c>
      <c r="J127" s="49"/>
      <c r="K127" s="4"/>
      <c r="L127" s="4"/>
      <c r="M127" s="4"/>
      <c r="N127" s="4"/>
    </row>
    <row r="128">
      <c r="A128" s="53">
        <v>140.0</v>
      </c>
      <c r="B128" s="27" t="s">
        <v>26</v>
      </c>
      <c r="C128" s="27" t="s">
        <v>31</v>
      </c>
      <c r="D128" s="10" t="str">
        <f>IFERROR(__xludf.DUMMYFUNCTION("filter('Imported Recommendations'!B:D,'Imported Recommendations'!A:A=A128)"),"I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E128" s="35" t="str">
        <f>IFERROR(__xludf.DUMMYFUNCTION("""COMPUTED_VALUE"""),"Compare and contrast the tools before to choice.")</f>
        <v>Compare and contrast the tools before to choice.</v>
      </c>
      <c r="F128" s="35"/>
      <c r="G128" s="7" t="s">
        <v>8</v>
      </c>
      <c r="H128" s="54"/>
      <c r="I128" s="15" t="s">
        <v>8</v>
      </c>
      <c r="J128" s="49"/>
      <c r="K128" s="4"/>
      <c r="L128" s="4"/>
      <c r="M128" s="4"/>
      <c r="N128" s="4"/>
    </row>
    <row r="129">
      <c r="A129" s="53">
        <v>141.0</v>
      </c>
      <c r="B129" s="27" t="s">
        <v>27</v>
      </c>
      <c r="C129" s="27" t="s">
        <v>31</v>
      </c>
      <c r="D129" s="10" t="str">
        <f>IFERROR(__xludf.DUMMYFUNCTION("filter('Imported Recommendations'!B:D,'Imported Recommendations'!A:A=A129)"),"I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E129" s="25" t="str">
        <f>IFERROR(__xludf.DUMMYFUNCTION("""COMPUTED_VALUE"""),"Use cloud SAS providers to avoid spending a lot of time installations and configurations.")</f>
        <v>Use cloud SAS providers to avoid spending a lot of time installations and configurations.</v>
      </c>
      <c r="F129" s="35"/>
      <c r="G129" s="7" t="s">
        <v>9</v>
      </c>
      <c r="H129" s="54"/>
      <c r="I129" s="15" t="s">
        <v>9</v>
      </c>
      <c r="J129" s="49"/>
      <c r="K129" s="4" t="s">
        <v>25</v>
      </c>
      <c r="L129" s="4" t="s">
        <v>25</v>
      </c>
      <c r="M129" s="4"/>
      <c r="N129" s="4"/>
    </row>
    <row r="130">
      <c r="A130" s="53">
        <v>142.0</v>
      </c>
      <c r="B130" s="27" t="s">
        <v>24</v>
      </c>
      <c r="C130" s="27" t="s">
        <v>31</v>
      </c>
      <c r="D130" s="10" t="str">
        <f>IFERROR(__xludf.DUMMYFUNCTION("filter('Imported Recommendations'!B:D,'Imported Recommendations'!A:A=A130)"),"I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E130" s="35" t="str">
        <f>IFERROR(__xludf.DUMMYFUNCTION("""COMPUTED_VALUE"""),"Show the evolution of the tools like exposing from ant and maven to gradle tool in build managment.")</f>
        <v>Show the evolution of the tools like exposing from ant and maven to gradle tool in build managment.</v>
      </c>
      <c r="F130" s="35"/>
      <c r="G130" s="7" t="s">
        <v>8</v>
      </c>
      <c r="H130" s="54"/>
      <c r="I130" s="15" t="s">
        <v>8</v>
      </c>
      <c r="J130" s="49"/>
      <c r="K130" s="4"/>
      <c r="L130" s="4"/>
      <c r="M130" s="4"/>
      <c r="N130" s="4"/>
    </row>
    <row r="131">
      <c r="A131" s="53">
        <v>143.0</v>
      </c>
      <c r="B131" s="27" t="s">
        <v>26</v>
      </c>
      <c r="C131" s="27" t="s">
        <v>31</v>
      </c>
      <c r="D131" s="10" t="str">
        <f>IFERROR(__xludf.DUMMYFUNCTION("filter('Imported Recommendations'!B:D,'Imported Recommendations'!A:A=A131)"),"I'm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E131" s="35" t="str">
        <f>IFERROR(__xludf.DUMMYFUNCTION("""COMPUTED_VALUE"""),"separate the dev and ops part into different courses.")</f>
        <v>separate the dev and ops part into different courses.</v>
      </c>
      <c r="F131" s="35"/>
      <c r="G131" s="7" t="s">
        <v>9</v>
      </c>
      <c r="H131" s="54"/>
      <c r="I131" s="15" t="s">
        <v>9</v>
      </c>
      <c r="J131" s="49"/>
      <c r="K131" s="4"/>
      <c r="L131" s="4"/>
      <c r="M131" s="4"/>
      <c r="N131" s="4"/>
    </row>
    <row r="132">
      <c r="A132" s="53">
        <v>144.0</v>
      </c>
      <c r="B132" s="27" t="s">
        <v>27</v>
      </c>
      <c r="C132" s="27" t="s">
        <v>31</v>
      </c>
      <c r="D132" s="10" t="str">
        <f>IFERROR(__xludf.DUMMYFUNCTION("filter('Imported Recommendations'!B:D,'Imported Recommendations'!A:A=A132)"),"And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E132" s="35"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F132" s="35"/>
      <c r="G132" s="7" t="s">
        <v>9</v>
      </c>
      <c r="H132" s="54"/>
      <c r="I132" s="15" t="s">
        <v>9</v>
      </c>
      <c r="J132" s="49"/>
      <c r="K132" s="4"/>
      <c r="L132" s="4"/>
      <c r="M132" s="4"/>
      <c r="N132" s="4"/>
    </row>
    <row r="133">
      <c r="A133" s="53">
        <v>145.0</v>
      </c>
      <c r="B133" s="27" t="s">
        <v>24</v>
      </c>
      <c r="C133" s="27" t="s">
        <v>31</v>
      </c>
      <c r="D133" s="10" t="str">
        <f>IFERROR(__xludf.DUMMYFUNCTION("filter('Imported Recommendations'!B:D,'Imported Recommendations'!A:A=A133)"),"I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E133" s="35"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F133" s="35"/>
      <c r="G133" s="7" t="s">
        <v>9</v>
      </c>
      <c r="H133" s="31"/>
      <c r="I133" s="15" t="s">
        <v>9</v>
      </c>
      <c r="J133" s="49"/>
      <c r="K133" s="4" t="s">
        <v>25</v>
      </c>
      <c r="L133" s="4" t="s">
        <v>25</v>
      </c>
      <c r="M133" s="4"/>
      <c r="N133" s="4"/>
    </row>
    <row r="134">
      <c r="A134" s="53">
        <v>146.0</v>
      </c>
      <c r="B134" s="27" t="s">
        <v>26</v>
      </c>
      <c r="C134" s="27" t="s">
        <v>31</v>
      </c>
      <c r="D134" s="10" t="str">
        <f>IFERROR(__xludf.DUMMYFUNCTION("filter('Imported Recommendations'!B:D,'Imported Recommendations'!A:A=A134)"),"So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E134" s="25"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F134" s="25" t="str">
        <f>IFERROR(__xludf.DUMMYFUNCTION("""COMPUTED_VALUE"""),"Research small projects for the students.")</f>
        <v>Research small projects for the students.</v>
      </c>
      <c r="G134" s="7" t="s">
        <v>8</v>
      </c>
      <c r="H134" s="54"/>
      <c r="I134" s="15" t="s">
        <v>8</v>
      </c>
      <c r="J134" s="49"/>
      <c r="K134" s="4"/>
      <c r="L134" s="4"/>
      <c r="M134" s="4"/>
      <c r="N134" s="4"/>
    </row>
    <row r="135">
      <c r="A135" s="53">
        <v>147.0</v>
      </c>
      <c r="B135" s="27" t="s">
        <v>27</v>
      </c>
      <c r="C135" s="27" t="s">
        <v>31</v>
      </c>
      <c r="D135" s="10" t="str">
        <f>IFERROR(__xludf.DUMMYFUNCTION("filter('Imported Recommendations'!B:D,'Imported Recommendations'!A:A=A135)"),"I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E135" s="35" t="str">
        <f>IFERROR(__xludf.DUMMYFUNCTION("""COMPUTED_VALUE"""),"Provide jump-starting examples of commonly used commands of tools.")</f>
        <v>Provide jump-starting examples of commonly used commands of tools.</v>
      </c>
      <c r="F135" s="35"/>
      <c r="G135" s="7" t="s">
        <v>8</v>
      </c>
      <c r="H135" s="54"/>
      <c r="I135" s="15" t="s">
        <v>8</v>
      </c>
      <c r="J135" s="49"/>
      <c r="K135" s="4"/>
      <c r="L135" s="4"/>
      <c r="M135" s="4"/>
      <c r="N135" s="4"/>
    </row>
    <row r="136">
      <c r="A136" s="53">
        <v>148.0</v>
      </c>
      <c r="B136" s="27" t="s">
        <v>24</v>
      </c>
      <c r="C136" s="27" t="s">
        <v>31</v>
      </c>
      <c r="D136" s="10" t="str">
        <f>IFERROR(__xludf.DUMMYFUNCTION("filter('Imported Recommendations'!B:D,'Imported Recommendations'!A:A=A136)"),"So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E136" s="35"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F136" s="35"/>
      <c r="G136" s="7" t="s">
        <v>9</v>
      </c>
      <c r="H136" s="54" t="s">
        <v>42</v>
      </c>
      <c r="I136" s="15" t="s">
        <v>9</v>
      </c>
      <c r="J136" s="49"/>
      <c r="K136" s="4" t="s">
        <v>25</v>
      </c>
      <c r="L136" s="4" t="s">
        <v>25</v>
      </c>
      <c r="M136" s="4"/>
      <c r="N136" s="4"/>
    </row>
    <row r="137">
      <c r="A137" s="53">
        <v>149.0</v>
      </c>
      <c r="B137" s="27" t="s">
        <v>26</v>
      </c>
      <c r="C137" s="27" t="s">
        <v>31</v>
      </c>
      <c r="D137" s="10" t="str">
        <f>IFERROR(__xludf.DUMMYFUNCTION("filter('Imported Recommendations'!B:D,'Imported Recommendations'!A:A=A137)"),"Our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E137" s="35" t="str">
        <f>IFERROR(__xludf.DUMMYFUNCTION("""COMPUTED_VALUE"""),"Our curriculum allows some degree of freedom according to the teacher's preferences.")</f>
        <v>Our curriculum allows some degree of freedom according to the teacher's preferences.</v>
      </c>
      <c r="F137" s="35"/>
      <c r="G137" s="7" t="s">
        <v>8</v>
      </c>
      <c r="H137" s="54"/>
      <c r="I137" s="15" t="s">
        <v>8</v>
      </c>
      <c r="J137" s="49"/>
      <c r="K137" s="4"/>
      <c r="L137" s="4"/>
      <c r="M137" s="4"/>
      <c r="N137" s="4"/>
    </row>
    <row r="138">
      <c r="A138" s="53">
        <v>150.0</v>
      </c>
      <c r="B138" s="27" t="s">
        <v>27</v>
      </c>
      <c r="C138" s="27" t="s">
        <v>31</v>
      </c>
      <c r="D138" s="10" t="str">
        <f>IFERROR(__xludf.DUMMYFUNCTION("filter('Imported Recommendations'!B:D,'Imported Recommendations'!A:A=A138)"),"We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E138" s="35"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F138" s="35"/>
      <c r="G138" s="7" t="s">
        <v>9</v>
      </c>
      <c r="H138" s="54"/>
      <c r="I138" s="15" t="s">
        <v>9</v>
      </c>
      <c r="J138" s="49"/>
      <c r="K138" s="4" t="s">
        <v>25</v>
      </c>
      <c r="L138" s="4"/>
      <c r="M138" s="4"/>
      <c r="N138" s="4"/>
    </row>
    <row r="139">
      <c r="A139" s="53">
        <v>151.0</v>
      </c>
      <c r="B139" s="27" t="s">
        <v>24</v>
      </c>
      <c r="C139" s="27" t="s">
        <v>31</v>
      </c>
      <c r="D139" s="10" t="str">
        <f>IFERROR(__xludf.DUMMYFUNCTION("filter('Imported Recommendations'!B:D,'Imported Recommendations'!A:A=A139)"),"So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E139" s="35"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F139" s="35" t="str">
        <f>IFERROR(__xludf.DUMMYFUNCTION("""COMPUTED_VALUE"""),"The courses of software architecture and DevOps taught together.")</f>
        <v>The courses of software architecture and DevOps taught together.</v>
      </c>
      <c r="G139" s="7" t="s">
        <v>9</v>
      </c>
      <c r="H139" s="54"/>
      <c r="I139" s="15" t="s">
        <v>9</v>
      </c>
      <c r="J139" s="49"/>
      <c r="K139" s="4" t="s">
        <v>25</v>
      </c>
      <c r="L139" s="4" t="s">
        <v>25</v>
      </c>
      <c r="M139" s="4"/>
      <c r="N139" s="4"/>
    </row>
    <row r="140">
      <c r="A140" s="53">
        <v>152.0</v>
      </c>
      <c r="B140" s="27" t="s">
        <v>26</v>
      </c>
      <c r="C140" s="27" t="s">
        <v>31</v>
      </c>
      <c r="D140" s="10" t="str">
        <f>IFERROR(__xludf.DUMMYFUNCTION("filter('Imported Recommendations'!B:D,'Imported Recommendations'!A:A=A140)"),"And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E140" s="35" t="str">
        <f>IFERROR(__xludf.DUMMYFUNCTION("""COMPUTED_VALUE"""),"Show the operational constraints to students like coder will not get access to production environment.")</f>
        <v>Show the operational constraints to students like coder will not get access to production environment.</v>
      </c>
      <c r="F140" s="35"/>
      <c r="G140" s="7" t="s">
        <v>9</v>
      </c>
      <c r="H140" s="54"/>
      <c r="I140" s="15" t="s">
        <v>9</v>
      </c>
      <c r="J140" s="49"/>
      <c r="K140" s="4"/>
      <c r="L140" s="4"/>
      <c r="M140" s="4"/>
      <c r="N140" s="4"/>
    </row>
    <row r="141">
      <c r="A141" s="53">
        <v>153.0</v>
      </c>
      <c r="B141" s="27" t="s">
        <v>27</v>
      </c>
      <c r="C141" s="27" t="s">
        <v>31</v>
      </c>
      <c r="D141" s="10" t="str">
        <f>IFERROR(__xludf.DUMMYFUNCTION("filter('Imported Recommendations'!B:D,'Imported Recommendations'!A:A=A141)"),"And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E141" s="35" t="str">
        <f>IFERROR(__xludf.DUMMYFUNCTION("""COMPUTED_VALUE"""),"Study the tools more when you go into the concepts. For example, deep Docker when you teach containers.")</f>
        <v>Study the tools more when you go into the concepts. For example, deep Docker when you teach containers.</v>
      </c>
      <c r="F141" s="35"/>
      <c r="G141" s="7" t="s">
        <v>9</v>
      </c>
      <c r="H141" s="54"/>
      <c r="I141" s="15" t="s">
        <v>9</v>
      </c>
      <c r="J141" s="49"/>
      <c r="K141" s="4"/>
      <c r="L141" s="4"/>
      <c r="M141" s="4"/>
      <c r="N141" s="4"/>
    </row>
    <row r="142">
      <c r="A142" s="53">
        <v>154.0</v>
      </c>
      <c r="B142" s="27" t="s">
        <v>24</v>
      </c>
      <c r="C142" s="27" t="s">
        <v>31</v>
      </c>
      <c r="D142" s="10" t="str">
        <f>IFERROR(__xludf.DUMMYFUNCTION("filter('Imported Recommendations'!B:D,'Imported Recommendations'!A:A=A142)"),"what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E142" s="35"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F142" s="35"/>
      <c r="G142" s="7" t="s">
        <v>8</v>
      </c>
      <c r="H142" s="54"/>
      <c r="I142" s="15" t="s">
        <v>8</v>
      </c>
      <c r="J142" s="49"/>
      <c r="K142" s="4"/>
      <c r="L142" s="4"/>
      <c r="M142" s="4"/>
      <c r="N142" s="4"/>
    </row>
    <row r="143">
      <c r="A143" s="53">
        <v>155.0</v>
      </c>
      <c r="B143" s="27" t="s">
        <v>26</v>
      </c>
      <c r="C143" s="27" t="s">
        <v>31</v>
      </c>
      <c r="D143" s="10" t="str">
        <f>IFERROR(__xludf.DUMMYFUNCTION("filter('Imported Recommendations'!B:D,'Imported Recommendations'!A:A=A143)"),"In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E143" s="35"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F143" s="35" t="str">
        <f>IFERROR(__xludf.DUMMYFUNCTION("""COMPUTED_VALUE"""),"Force students to use technology stack used on course.")</f>
        <v>Force students to use technology stack used on course.</v>
      </c>
      <c r="G143" s="7" t="s">
        <v>8</v>
      </c>
      <c r="H143" s="54"/>
      <c r="I143" s="15" t="s">
        <v>8</v>
      </c>
      <c r="J143" s="49"/>
      <c r="K143" s="4" t="s">
        <v>25</v>
      </c>
      <c r="L143" s="4"/>
      <c r="M143" s="4"/>
      <c r="N143" s="4"/>
    </row>
    <row r="144">
      <c r="A144" s="53">
        <v>156.0</v>
      </c>
      <c r="B144" s="27" t="s">
        <v>27</v>
      </c>
      <c r="C144" s="27" t="s">
        <v>31</v>
      </c>
      <c r="D144" s="10" t="str">
        <f>IFERROR(__xludf.DUMMYFUNCTION("filter('Imported Recommendations'!B:D,'Imported Recommendations'!A:A=A144)"),"Go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E144" s="35" t="str">
        <f>IFERROR(__xludf.DUMMYFUNCTION("""COMPUTED_VALUE"""),"Build whiteboard free sessions inspired by what students have failed and the two hours exercise.")</f>
        <v>Build whiteboard free sessions inspired by what students have failed and the two hours exercise.</v>
      </c>
      <c r="F144" s="35"/>
      <c r="G144" s="7" t="s">
        <v>9</v>
      </c>
      <c r="H144" s="54"/>
      <c r="I144" s="15" t="s">
        <v>8</v>
      </c>
      <c r="J144" s="49"/>
      <c r="K144" s="4" t="s">
        <v>25</v>
      </c>
      <c r="L144" s="4"/>
      <c r="M144" s="4" t="s">
        <v>28</v>
      </c>
      <c r="N144" s="55" t="s">
        <v>30</v>
      </c>
    </row>
    <row r="145">
      <c r="A145" s="53">
        <v>157.0</v>
      </c>
      <c r="B145" s="27" t="s">
        <v>24</v>
      </c>
      <c r="C145" s="27" t="s">
        <v>31</v>
      </c>
      <c r="D145" s="10" t="str">
        <f>IFERROR(__xludf.DUMMYFUNCTION("filter('Imported Recommendations'!B:D,'Imported Recommendations'!A:A=A145)"),"We've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E145" s="35"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F145" s="35" t="str">
        <f>IFERROR(__xludf.DUMMYFUNCTION("""COMPUTED_VALUE"""),"Make students prepare a presentation about topics related to DevOps.")</f>
        <v>Make students prepare a presentation about topics related to DevOps.</v>
      </c>
      <c r="G145" s="7" t="s">
        <v>9</v>
      </c>
      <c r="H145" s="54"/>
      <c r="I145" s="15" t="s">
        <v>9</v>
      </c>
      <c r="J145" s="49"/>
      <c r="K145" s="4"/>
      <c r="L145" s="4"/>
      <c r="M145" s="4"/>
      <c r="N145" s="4"/>
    </row>
    <row r="146">
      <c r="A146" s="53">
        <v>158.0</v>
      </c>
      <c r="B146" s="27" t="s">
        <v>26</v>
      </c>
      <c r="C146" s="27" t="s">
        <v>31</v>
      </c>
      <c r="D146" s="10" t="str">
        <f>IFERROR(__xludf.DUMMYFUNCTION("filter('Imported Recommendations'!B:D,'Imported Recommendations'!A:A=A146)"),"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E146" s="25"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F146" s="35"/>
      <c r="G146" s="7" t="s">
        <v>8</v>
      </c>
      <c r="H146" s="54"/>
      <c r="I146" s="15" t="s">
        <v>8</v>
      </c>
      <c r="J146" s="49"/>
      <c r="K146" s="4"/>
      <c r="L146" s="4"/>
      <c r="M146" s="4"/>
      <c r="N146" s="4"/>
    </row>
    <row r="147">
      <c r="A147" s="53">
        <v>159.0</v>
      </c>
      <c r="B147" s="27" t="s">
        <v>27</v>
      </c>
      <c r="C147" s="27" t="s">
        <v>31</v>
      </c>
      <c r="D147" s="10" t="str">
        <f>IFERROR(__xludf.DUMMYFUNCTION("filter('Imported Recommendations'!B:D,'Imported Recommendations'!A:A=A147)"),"we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E147" s="35"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F147" s="35"/>
      <c r="G147" s="7" t="s">
        <v>8</v>
      </c>
      <c r="H147" s="54"/>
      <c r="I147" s="15" t="s">
        <v>8</v>
      </c>
      <c r="J147" s="49"/>
      <c r="K147" s="4"/>
      <c r="L147" s="4"/>
      <c r="M147" s="4"/>
      <c r="N147" s="4"/>
    </row>
    <row r="148">
      <c r="A148" s="53">
        <v>160.0</v>
      </c>
      <c r="B148" s="27" t="s">
        <v>24</v>
      </c>
      <c r="C148" s="27" t="s">
        <v>31</v>
      </c>
      <c r="D148" s="10" t="str">
        <f>IFERROR(__xludf.DUMMYFUNCTION("filter('Imported Recommendations'!B:D,'Imported Recommendations'!A:A=A148)"),"we cannot make assumption on what they know. So we're trying to work without any assumption.
")</f>
        <v>we cannot make assumption on what they know. So we're trying to work without any assumption.
</v>
      </c>
      <c r="E148" s="35" t="str">
        <f>IFERROR(__xludf.DUMMYFUNCTION("""COMPUTED_VALUE"""),"Do not make assumption about the learning level of the students when you have students with different levels.")</f>
        <v>Do not make assumption about the learning level of the students when you have students with different levels.</v>
      </c>
      <c r="F148" s="35"/>
      <c r="G148" s="7" t="s">
        <v>8</v>
      </c>
      <c r="H148" s="54"/>
      <c r="I148" s="15" t="s">
        <v>8</v>
      </c>
      <c r="J148" s="49"/>
      <c r="K148" s="4" t="s">
        <v>25</v>
      </c>
      <c r="L148" s="4" t="s">
        <v>25</v>
      </c>
      <c r="M148" s="4"/>
      <c r="N148" s="4"/>
    </row>
    <row r="149">
      <c r="A149" s="53">
        <v>161.0</v>
      </c>
      <c r="B149" s="27" t="s">
        <v>26</v>
      </c>
      <c r="C149" s="27" t="s">
        <v>31</v>
      </c>
      <c r="D149" s="10" t="str">
        <f>IFERROR(__xludf.DUMMYFUNCTION("filter('Imported Recommendations'!B:D,'Imported Recommendations'!A:A=A149)"),"We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49" s="35"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F149" s="35" t="str">
        <f>IFERROR(__xludf.DUMMYFUNCTION("""COMPUTED_VALUE"""),"Kubernetes can be chosen as DevOps tool.")</f>
        <v>Kubernetes can be chosen as DevOps tool.</v>
      </c>
      <c r="G149" s="7" t="s">
        <v>9</v>
      </c>
      <c r="H149" s="54"/>
      <c r="I149" s="15" t="s">
        <v>9</v>
      </c>
      <c r="J149" s="49"/>
      <c r="K149" s="4"/>
      <c r="L149" s="4"/>
      <c r="M149" s="4"/>
      <c r="N149" s="4"/>
    </row>
    <row r="150">
      <c r="A150" s="53">
        <v>162.0</v>
      </c>
      <c r="B150" s="27" t="s">
        <v>27</v>
      </c>
      <c r="C150" s="27" t="s">
        <v>31</v>
      </c>
      <c r="D150" s="10" t="str">
        <f>IFERROR(__xludf.DUMMYFUNCTION("filter('Imported Recommendations'!B:D,'Imported Recommendations'!A:A=A150)"),"I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E150" s="35"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F150" s="35"/>
      <c r="G150" s="7" t="s">
        <v>8</v>
      </c>
      <c r="H150" s="54"/>
      <c r="I150" s="15" t="s">
        <v>9</v>
      </c>
      <c r="J150" s="49"/>
      <c r="K150" s="4" t="s">
        <v>25</v>
      </c>
      <c r="L150" s="4"/>
      <c r="M150" s="4" t="s">
        <v>29</v>
      </c>
      <c r="N150" s="55" t="s">
        <v>30</v>
      </c>
    </row>
    <row r="151">
      <c r="A151" s="53">
        <v>163.0</v>
      </c>
      <c r="B151" s="27" t="s">
        <v>24</v>
      </c>
      <c r="C151" s="27" t="s">
        <v>31</v>
      </c>
      <c r="D151" s="10" t="str">
        <f>IFERROR(__xludf.DUMMYFUNCTION("filter('Imported Recommendations'!B:D,'Imported Recommendations'!A:A=A151)"),"what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E151" s="35" t="str">
        <f>IFERROR(__xludf.DUMMYFUNCTION("""COMPUTED_VALUE"""),"Introduce a concept and do labs with creating DevOps pipeline, setup A/B tests, and automated tests.")</f>
        <v>Introduce a concept and do labs with creating DevOps pipeline, setup A/B tests, and automated tests.</v>
      </c>
      <c r="F151" s="35"/>
      <c r="G151" s="7" t="s">
        <v>9</v>
      </c>
      <c r="H151" s="54"/>
      <c r="I151" s="15" t="s">
        <v>9</v>
      </c>
      <c r="J151" s="49"/>
      <c r="K151" s="4"/>
      <c r="L151" s="4"/>
      <c r="M151" s="4"/>
      <c r="N151" s="4"/>
    </row>
    <row r="152">
      <c r="A152" s="53">
        <v>164.0</v>
      </c>
      <c r="B152" s="27" t="s">
        <v>26</v>
      </c>
      <c r="C152" s="27" t="s">
        <v>31</v>
      </c>
      <c r="D152" s="10" t="str">
        <f>IFERROR(__xludf.DUMMYFUNCTION("filter('Imported Recommendations'!B:D,'Imported Recommendations'!A:A=A152)"),"The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E152" s="25"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F152" s="35" t="str">
        <f>IFERROR(__xludf.DUMMYFUNCTION("""COMPUTED_VALUE"""),"Students setting up their own DevOps environment.")</f>
        <v>Students setting up their own DevOps environment.</v>
      </c>
      <c r="G152" s="7" t="s">
        <v>9</v>
      </c>
      <c r="H152" s="54"/>
      <c r="I152" s="15" t="s">
        <v>9</v>
      </c>
      <c r="J152" s="49"/>
      <c r="K152" s="4"/>
      <c r="L152" s="4"/>
      <c r="M152" s="4"/>
      <c r="N152" s="4"/>
    </row>
    <row r="153">
      <c r="A153" s="53">
        <v>165.0</v>
      </c>
      <c r="B153" s="27" t="s">
        <v>27</v>
      </c>
      <c r="C153" s="27" t="s">
        <v>31</v>
      </c>
      <c r="D153" s="10" t="str">
        <f>IFERROR(__xludf.DUMMYFUNCTION("filter('Imported Recommendations'!B:D,'Imported Recommendations'!A:A=A153)"),"Also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E153" s="35" t="str">
        <f>IFERROR(__xludf.DUMMYFUNCTION("""COMPUTED_VALUE"""),"The project of the class should not be very small and must be challenging.")</f>
        <v>The project of the class should not be very small and must be challenging.</v>
      </c>
      <c r="F153" s="35"/>
      <c r="G153" s="7" t="s">
        <v>9</v>
      </c>
      <c r="H153" s="31"/>
      <c r="I153" s="15" t="s">
        <v>9</v>
      </c>
      <c r="J153" s="49"/>
      <c r="K153" s="4" t="s">
        <v>25</v>
      </c>
      <c r="L153" s="4" t="s">
        <v>25</v>
      </c>
      <c r="M153" s="4"/>
      <c r="N153" s="4"/>
    </row>
    <row r="154">
      <c r="A154" s="53">
        <v>166.0</v>
      </c>
      <c r="B154" s="27" t="s">
        <v>24</v>
      </c>
      <c r="C154" s="27" t="s">
        <v>31</v>
      </c>
      <c r="D154" s="10" t="str">
        <f>IFERROR(__xludf.DUMMYFUNCTION("filter('Imported Recommendations'!B:D,'Imported Recommendations'!A:A=A154)"),"for exam can be to use an open source application that we can use")</f>
        <v>for exam can be to use an open source application that we can use</v>
      </c>
      <c r="E154" s="35" t="str">
        <f>IFERROR(__xludf.DUMMYFUNCTION("""COMPUTED_VALUE"""),"For exam can be to use an open source application that we can use.")</f>
        <v>For exam can be to use an open source application that we can use.</v>
      </c>
      <c r="F154" s="35"/>
      <c r="G154" s="7" t="s">
        <v>8</v>
      </c>
      <c r="H154" s="7"/>
      <c r="I154" s="15" t="s">
        <v>8</v>
      </c>
      <c r="J154" s="49"/>
      <c r="K154" s="4" t="s">
        <v>25</v>
      </c>
      <c r="L154" s="4" t="s">
        <v>25</v>
      </c>
      <c r="M154" s="4"/>
      <c r="N154" s="4"/>
    </row>
    <row r="155">
      <c r="A155" s="53">
        <v>167.0</v>
      </c>
      <c r="B155" s="27" t="s">
        <v>26</v>
      </c>
      <c r="C155" s="27" t="s">
        <v>31</v>
      </c>
      <c r="D155" s="10" t="str">
        <f>IFERROR(__xludf.DUMMYFUNCTION("filter('Imported Recommendations'!B:D,'Imported Recommendations'!A:A=A155)"),"we use also SonarQube to help us on the automation")</f>
        <v>we use also SonarQube to help us on the automation</v>
      </c>
      <c r="E155" s="35" t="str">
        <f>IFERROR(__xludf.DUMMYFUNCTION("""COMPUTED_VALUE"""),"Use SonarQube to help on the automation.")</f>
        <v>Use SonarQube to help on the automation.</v>
      </c>
      <c r="F155" s="35"/>
      <c r="G155" s="7" t="s">
        <v>9</v>
      </c>
      <c r="H155" s="54"/>
      <c r="I155" s="15" t="s">
        <v>9</v>
      </c>
      <c r="J155" s="49"/>
      <c r="K155" s="4"/>
      <c r="L155" s="4"/>
      <c r="M155" s="4"/>
      <c r="N155" s="4"/>
    </row>
    <row r="156">
      <c r="A156" s="53">
        <v>168.0</v>
      </c>
      <c r="B156" s="27" t="s">
        <v>27</v>
      </c>
      <c r="C156" s="27" t="s">
        <v>31</v>
      </c>
      <c r="D156" s="10" t="str">
        <f>IFERROR(__xludf.DUMMYFUNCTION("filter('Imported Recommendations'!B:D,'Imported Recommendations'!A:A=A156)"),"for performance testing we use JMeter")</f>
        <v>for performance testing we use JMeter</v>
      </c>
      <c r="E156" s="35" t="str">
        <f>IFERROR(__xludf.DUMMYFUNCTION("""COMPUTED_VALUE"""),"Use JMeter for performance testing.")</f>
        <v>Use JMeter for performance testing.</v>
      </c>
      <c r="F156" s="35"/>
      <c r="G156" s="7" t="s">
        <v>8</v>
      </c>
      <c r="H156" s="54"/>
      <c r="I156" s="15" t="s">
        <v>8</v>
      </c>
      <c r="J156" s="49"/>
      <c r="K156" s="4" t="s">
        <v>25</v>
      </c>
      <c r="L156" s="4" t="s">
        <v>25</v>
      </c>
      <c r="M156" s="4"/>
      <c r="N156" s="4"/>
    </row>
    <row r="157">
      <c r="A157" s="53">
        <v>169.0</v>
      </c>
      <c r="B157" s="27" t="s">
        <v>24</v>
      </c>
      <c r="C157" s="27" t="s">
        <v>31</v>
      </c>
      <c r="D157" s="10" t="str">
        <f>IFERROR(__xludf.DUMMYFUNCTION("filter('Imported Recommendations'!B:D,'Imported Recommendations'!A:A=A157)"),"we also security platform like, uh, Zap")</f>
        <v>we also security platform like, uh, Zap</v>
      </c>
      <c r="E157" s="35" t="str">
        <f>IFERROR(__xludf.DUMMYFUNCTION("""COMPUTED_VALUE"""),"Use OWASP Zap as security platform.")</f>
        <v>Use OWASP Zap as security platform.</v>
      </c>
      <c r="F157" s="35"/>
      <c r="G157" s="7" t="s">
        <v>8</v>
      </c>
      <c r="H157" s="54"/>
      <c r="I157" s="15" t="s">
        <v>8</v>
      </c>
      <c r="J157" s="49"/>
      <c r="K157" s="4"/>
      <c r="L157" s="4"/>
      <c r="M157" s="4"/>
      <c r="N157" s="4"/>
    </row>
    <row r="158">
      <c r="A158" s="53">
        <v>170.0</v>
      </c>
      <c r="B158" s="27" t="s">
        <v>26</v>
      </c>
      <c r="C158" s="27" t="s">
        <v>31</v>
      </c>
      <c r="D158" s="10" t="str">
        <f>IFERROR(__xludf.DUMMYFUNCTION("filter('Imported Recommendations'!B:D,'Imported Recommendations'!A:A=A158)"),"So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E158" s="35" t="str">
        <f>IFERROR(__xludf.DUMMYFUNCTION("""COMPUTED_VALUE"""),"There are many free DevOps tools available.")</f>
        <v>There are many free DevOps tools available.</v>
      </c>
      <c r="F158" s="35"/>
      <c r="G158" s="7" t="s">
        <v>9</v>
      </c>
      <c r="H158" s="54"/>
      <c r="I158" s="15" t="s">
        <v>9</v>
      </c>
      <c r="J158" s="49"/>
      <c r="K158" s="4"/>
      <c r="L158" s="4"/>
      <c r="M158" s="4"/>
      <c r="N158" s="4"/>
    </row>
    <row r="159">
      <c r="A159" s="53">
        <v>171.0</v>
      </c>
      <c r="B159" s="27" t="s">
        <v>27</v>
      </c>
      <c r="C159" s="27" t="s">
        <v>31</v>
      </c>
      <c r="D159" s="10" t="str">
        <f>IFERROR(__xludf.DUMMYFUNCTION("filter('Imported Recommendations'!B:D,'Imported Recommendations'!A:A=A159)"),"Quite often, what we do is have someone in our team to implement the application.")</f>
        <v>Quite often, what we do is have someone in our team to implement the application.</v>
      </c>
      <c r="E159" s="35" t="str">
        <f>IFERROR(__xludf.DUMMYFUNCTION("""COMPUTED_VALUE"""),"Someone from teacher staff implements the sample application.")</f>
        <v>Someone from teacher staff implements the sample application.</v>
      </c>
      <c r="F159" s="35"/>
      <c r="G159" s="7" t="s">
        <v>8</v>
      </c>
      <c r="H159" s="54"/>
      <c r="I159" s="15" t="s">
        <v>8</v>
      </c>
      <c r="J159" s="49"/>
      <c r="K159" s="4"/>
      <c r="L159" s="4"/>
      <c r="M159" s="4"/>
      <c r="N159" s="4"/>
    </row>
    <row r="160">
      <c r="A160" s="53">
        <v>172.0</v>
      </c>
      <c r="B160" s="27" t="s">
        <v>24</v>
      </c>
      <c r="C160" s="27" t="s">
        <v>31</v>
      </c>
      <c r="D160" s="10" t="str">
        <f>IFERROR(__xludf.DUMMYFUNCTION("filter('Imported Recommendations'!B:D,'Imported Recommendations'!A:A=A160)"),"So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E160" s="35"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F160" s="35" t="str">
        <f>IFERROR(__xludf.DUMMYFUNCTION("""COMPUTED_VALUE"""),"Divide the course into 80% of concepts and 20% of applications.")</f>
        <v>Divide the course into 80% of concepts and 20% of applications.</v>
      </c>
      <c r="G160" s="7" t="s">
        <v>9</v>
      </c>
      <c r="H160" s="54"/>
      <c r="I160" s="15" t="s">
        <v>9</v>
      </c>
      <c r="J160" s="49"/>
      <c r="K160" s="4" t="s">
        <v>25</v>
      </c>
      <c r="L160" s="4" t="s">
        <v>25</v>
      </c>
      <c r="M160" s="4"/>
      <c r="N160" s="4"/>
    </row>
    <row r="161">
      <c r="A161" s="53">
        <v>173.0</v>
      </c>
      <c r="B161" s="27" t="s">
        <v>26</v>
      </c>
      <c r="C161" s="27" t="s">
        <v>31</v>
      </c>
      <c r="D161" s="10" t="str">
        <f>IFERROR(__xludf.DUMMYFUNCTION("filter('Imported Recommendations'!B:D,'Imported Recommendations'!A:A=A161)"),"We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E161" s="35"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F161" s="35"/>
      <c r="G161" s="7" t="s">
        <v>9</v>
      </c>
      <c r="H161" s="54"/>
      <c r="I161" s="15" t="s">
        <v>9</v>
      </c>
      <c r="J161" s="49"/>
      <c r="K161" s="4" t="s">
        <v>25</v>
      </c>
      <c r="L161" s="4" t="s">
        <v>25</v>
      </c>
      <c r="M161" s="4"/>
      <c r="N161" s="4"/>
    </row>
    <row r="162">
      <c r="A162" s="53">
        <v>175.0</v>
      </c>
      <c r="B162" s="27" t="s">
        <v>24</v>
      </c>
      <c r="C162" s="27" t="s">
        <v>31</v>
      </c>
      <c r="D162" s="10" t="str">
        <f>IFERROR(__xludf.DUMMYFUNCTION("filter('Imported Recommendations'!B:D,'Imported Recommendations'!A:A=A162)"),"I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E162" s="35" t="str">
        <f>IFERROR(__xludf.DUMMYFUNCTION("""COMPUTED_VALUE"""),"Qualified teacher assistant is important to setup the labs.
It is good to have teacher assistants with labs.")</f>
        <v>Qualified teacher assistant is important to setup the labs.
It is good to have teacher assistants with labs.</v>
      </c>
      <c r="F162" s="35" t="str">
        <f>IFERROR(__xludf.DUMMYFUNCTION("""COMPUTED_VALUE"""),"Teacher assistants are helpful with labs.")</f>
        <v>Teacher assistants are helpful with labs.</v>
      </c>
      <c r="G162" s="7" t="s">
        <v>8</v>
      </c>
      <c r="H162" s="54"/>
      <c r="I162" s="15" t="s">
        <v>8</v>
      </c>
      <c r="J162" s="49"/>
      <c r="K162" s="4"/>
      <c r="L162" s="4"/>
      <c r="M162" s="4"/>
      <c r="N162" s="4"/>
    </row>
    <row r="163">
      <c r="A163" s="53">
        <v>176.0</v>
      </c>
      <c r="B163" s="27" t="s">
        <v>26</v>
      </c>
      <c r="C163" s="27" t="s">
        <v>31</v>
      </c>
      <c r="D163" s="10" t="str">
        <f>IFERROR(__xludf.DUMMYFUNCTION("filter('Imported Recommendations'!B:D,'Imported Recommendations'!A:A=A163)"),"the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E163" s="35" t="str">
        <f>IFERROR(__xludf.DUMMYFUNCTION("""COMPUTED_VALUE"""),"The Unicorn project book is a novel which covers the Dev side issues of DevOps.")</f>
        <v>The Unicorn project book is a novel which covers the Dev side issues of DevOps.</v>
      </c>
      <c r="F163" s="35"/>
      <c r="G163" s="7" t="s">
        <v>9</v>
      </c>
      <c r="H163" s="54"/>
      <c r="I163" s="15" t="s">
        <v>9</v>
      </c>
      <c r="J163" s="49"/>
      <c r="K163" s="4"/>
      <c r="L163" s="4"/>
      <c r="M163" s="4"/>
      <c r="N163" s="4"/>
    </row>
    <row r="164">
      <c r="A164" s="53">
        <v>177.0</v>
      </c>
      <c r="B164" s="27" t="s">
        <v>27</v>
      </c>
      <c r="C164" s="27" t="s">
        <v>31</v>
      </c>
      <c r="D164" s="10" t="str">
        <f>IFERROR(__xludf.DUMMYFUNCTION("filter('Imported Recommendations'!B:D,'Imported Recommendations'!A:A=A164)"),"The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E164" s="35" t="str">
        <f>IFERROR(__xludf.DUMMYFUNCTION("""COMPUTED_VALUE"""),"The Phoenix book by Jean Kim is a novel that covers the Ops side of DevOps.")</f>
        <v>The Phoenix book by Jean Kim is a novel that covers the Ops side of DevOps.</v>
      </c>
      <c r="F164" s="35"/>
      <c r="G164" s="7" t="s">
        <v>9</v>
      </c>
      <c r="H164" s="54"/>
      <c r="I164" s="15" t="s">
        <v>9</v>
      </c>
      <c r="J164" s="49"/>
      <c r="K164" s="4"/>
      <c r="L164" s="4"/>
      <c r="M164" s="4"/>
      <c r="N164" s="4"/>
    </row>
    <row r="165">
      <c r="A165" s="53">
        <v>178.0</v>
      </c>
      <c r="B165" s="27" t="s">
        <v>24</v>
      </c>
      <c r="C165" s="27" t="s">
        <v>31</v>
      </c>
      <c r="D165" s="10" t="str">
        <f>IFERROR(__xludf.DUMMYFUNCTION("filter('Imported Recommendations'!B:D,'Imported Recommendations'!A:A=A165)"),"I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E165" s="35" t="str">
        <f>IFERROR(__xludf.DUMMYFUNCTION("""COMPUTED_VALUE"""),"The teacher assistants need to be very qualified.")</f>
        <v>The teacher assistants need to be very qualified.</v>
      </c>
      <c r="F165" s="35"/>
      <c r="G165" s="7" t="s">
        <v>8</v>
      </c>
      <c r="H165" s="54"/>
      <c r="I165" s="15" t="s">
        <v>8</v>
      </c>
      <c r="J165" s="49"/>
      <c r="K165" s="4"/>
      <c r="L165" s="4"/>
      <c r="M165" s="4"/>
      <c r="N165" s="4"/>
    </row>
    <row r="166">
      <c r="A166" s="53">
        <v>179.0</v>
      </c>
      <c r="B166" s="27" t="s">
        <v>26</v>
      </c>
      <c r="C166" s="27" t="s">
        <v>31</v>
      </c>
      <c r="D166" s="10" t="str">
        <f>IFERROR(__xludf.DUMMYFUNCTION("filter('Imported Recommendations'!B:D,'Imported Recommendations'!A:A=A166)"),"So I chose, um, tuleap, which is an open source that was missing in mainly DevOps in France.")</f>
        <v>So I chose, um, tuleap, which is an open source that was missing in mainly DevOps in France.</v>
      </c>
      <c r="E166" s="35" t="str">
        <f>IFERROR(__xludf.DUMMYFUNCTION("""COMPUTED_VALUE"""),"Use Tuleap for lifecycle management.")</f>
        <v>Use Tuleap for lifecycle management.</v>
      </c>
      <c r="F166" s="35"/>
      <c r="G166" s="7" t="s">
        <v>9</v>
      </c>
      <c r="H166" s="54"/>
      <c r="I166" s="15" t="s">
        <v>9</v>
      </c>
      <c r="J166" s="49"/>
      <c r="K166" s="4"/>
      <c r="L166" s="4"/>
      <c r="M166" s="4"/>
      <c r="N166" s="4"/>
    </row>
    <row r="167">
      <c r="A167" s="53">
        <v>180.0</v>
      </c>
      <c r="B167" s="27" t="s">
        <v>27</v>
      </c>
      <c r="C167" s="27" t="s">
        <v>31</v>
      </c>
      <c r="D167" s="10" t="str">
        <f>IFERROR(__xludf.DUMMYFUNCTION("filter('Imported Recommendations'!B:D,'Imported Recommendations'!A:A=A167)"),"We try to make it minimal")</f>
        <v>We try to make it minimal</v>
      </c>
      <c r="E167" s="35" t="str">
        <f>IFERROR(__xludf.DUMMYFUNCTION("""COMPUTED_VALUE"""),"Try to make the environment setup minimal.")</f>
        <v>Try to make the environment setup minimal.</v>
      </c>
      <c r="F167" s="35"/>
      <c r="G167" s="7" t="s">
        <v>9</v>
      </c>
      <c r="H167" s="54"/>
      <c r="I167" s="15" t="s">
        <v>8</v>
      </c>
      <c r="J167" s="49"/>
      <c r="K167" s="4" t="s">
        <v>25</v>
      </c>
      <c r="L167" s="4"/>
      <c r="M167" s="4" t="s">
        <v>29</v>
      </c>
      <c r="N167" s="55" t="s">
        <v>30</v>
      </c>
    </row>
    <row r="168">
      <c r="A168" s="53">
        <v>181.0</v>
      </c>
      <c r="B168" s="27" t="s">
        <v>24</v>
      </c>
      <c r="C168" s="27" t="s">
        <v>31</v>
      </c>
      <c r="D168" s="10" t="str">
        <f>IFERROR(__xludf.DUMMYFUNCTION("filter('Imported Recommendations'!B:D,'Imported Recommendations'!A:A=A168)"),"initially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E168" s="35"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F168" s="35"/>
      <c r="G168" s="7" t="s">
        <v>9</v>
      </c>
      <c r="H168" s="54"/>
      <c r="I168" s="15" t="s">
        <v>9</v>
      </c>
      <c r="J168" s="49"/>
      <c r="K168" s="4" t="s">
        <v>25</v>
      </c>
      <c r="L168" s="4" t="s">
        <v>25</v>
      </c>
      <c r="M168" s="4"/>
      <c r="N168" s="4"/>
    </row>
    <row r="169">
      <c r="A169" s="53">
        <v>183.0</v>
      </c>
      <c r="B169" s="27" t="s">
        <v>27</v>
      </c>
      <c r="C169" s="27" t="s">
        <v>31</v>
      </c>
      <c r="D169" s="10" t="str">
        <f>IFERROR(__xludf.DUMMYFUNCTION("filter('Imported Recommendations'!B:D,'Imported Recommendations'!A:A=A169)"),"First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E169" s="35"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F169" s="40" t="str">
        <f>IFERROR(__xludf.DUMMYFUNCTION("""COMPUTED_VALUE"""),"Explain the course objectives to the students.")</f>
        <v>Explain the course objectives to the students.</v>
      </c>
      <c r="G169" s="7" t="s">
        <v>8</v>
      </c>
      <c r="H169" s="54"/>
      <c r="I169" s="15" t="s">
        <v>8</v>
      </c>
      <c r="J169" s="49"/>
      <c r="K169" s="4"/>
      <c r="L169" s="4"/>
      <c r="M169" s="4"/>
      <c r="N169" s="4"/>
    </row>
    <row r="170">
      <c r="A170" s="53">
        <v>184.0</v>
      </c>
      <c r="B170" s="27" t="s">
        <v>24</v>
      </c>
      <c r="C170" s="27" t="s">
        <v>31</v>
      </c>
      <c r="D170" s="10" t="str">
        <f>IFERROR(__xludf.DUMMYFUNCTION("filter('Imported Recommendations'!B:D,'Imported Recommendations'!A:A=A170)"),"I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E170" s="35"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F170" s="35" t="str">
        <f>IFERROR(__xludf.DUMMYFUNCTION("""COMPUTED_VALUE"""),"Use case studies in the exams.")</f>
        <v>Use case studies in the exams.</v>
      </c>
      <c r="G170" s="7" t="s">
        <v>8</v>
      </c>
      <c r="H170" s="54"/>
      <c r="I170" s="15" t="s">
        <v>8</v>
      </c>
      <c r="J170" s="49"/>
      <c r="K170" s="4"/>
      <c r="L170" s="4"/>
      <c r="M170" s="4"/>
      <c r="N170" s="4"/>
    </row>
    <row r="171">
      <c r="A171" s="53">
        <v>185.0</v>
      </c>
      <c r="B171" s="27" t="s">
        <v>26</v>
      </c>
      <c r="C171" s="27" t="s">
        <v>31</v>
      </c>
      <c r="D171" s="10" t="str">
        <f>IFERROR(__xludf.DUMMYFUNCTION("filter('Imported Recommendations'!B:D,'Imported Recommendations'!A:A=A171)"),"we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E171" s="35"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F171" s="35"/>
      <c r="G171" s="7" t="s">
        <v>9</v>
      </c>
      <c r="H171" s="54"/>
      <c r="I171" s="15" t="s">
        <v>9</v>
      </c>
      <c r="J171" s="49"/>
      <c r="K171" s="4"/>
      <c r="L171" s="4"/>
      <c r="M171" s="4"/>
      <c r="N171" s="4"/>
    </row>
    <row r="172">
      <c r="A172" s="53">
        <v>186.0</v>
      </c>
      <c r="B172" s="27" t="s">
        <v>27</v>
      </c>
      <c r="C172" s="27" t="s">
        <v>31</v>
      </c>
      <c r="D172" s="10" t="str">
        <f>IFERROR(__xludf.DUMMYFUNCTION("filter('Imported Recommendations'!B:D,'Imported Recommendations'!A:A=A172)"),"it's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E172" s="35" t="str">
        <f>IFERROR(__xludf.DUMMYFUNCTION("""COMPUTED_VALUE"""),"constantly try to figure out how to improve the quality of the course")</f>
        <v>constantly try to figure out how to improve the quality of the course</v>
      </c>
      <c r="F172" s="35"/>
      <c r="G172" s="7" t="s">
        <v>8</v>
      </c>
      <c r="H172" s="54"/>
      <c r="I172" s="15" t="s">
        <v>8</v>
      </c>
      <c r="J172" s="49"/>
      <c r="K172" s="4"/>
      <c r="L172" s="4"/>
      <c r="M172" s="4"/>
      <c r="N172" s="4"/>
    </row>
    <row r="173">
      <c r="A173" s="53">
        <v>187.0</v>
      </c>
      <c r="B173" s="27" t="s">
        <v>24</v>
      </c>
      <c r="C173" s="27" t="s">
        <v>31</v>
      </c>
      <c r="D173" s="10" t="str">
        <f>IFERROR(__xludf.DUMMYFUNCTION("filter('Imported Recommendations'!B:D,'Imported Recommendations'!A:A=A173)"),"I'm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E173" s="35"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F173" s="35" t="str">
        <f>IFERROR(__xludf.DUMMYFUNCTION("""COMPUTED_VALUE"""),"Select industrial speakers carefully to share their experience with the students.")</f>
        <v>Select industrial speakers carefully to share their experience with the students.</v>
      </c>
      <c r="G173" s="7" t="s">
        <v>8</v>
      </c>
      <c r="H173" s="54"/>
      <c r="I173" s="15" t="s">
        <v>8</v>
      </c>
      <c r="J173" s="49"/>
      <c r="K173" s="4"/>
      <c r="L173" s="4"/>
      <c r="M173" s="4"/>
      <c r="N173" s="4"/>
    </row>
    <row r="174">
      <c r="A174" s="53">
        <v>188.0</v>
      </c>
      <c r="B174" s="27" t="s">
        <v>26</v>
      </c>
      <c r="C174" s="27" t="s">
        <v>31</v>
      </c>
      <c r="D174" s="10" t="str">
        <f>IFERROR(__xludf.DUMMYFUNCTION("filter('Imported Recommendations'!B:D,'Imported Recommendations'!A:A=A174)"),"So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E174" s="35" t="str">
        <f>IFERROR(__xludf.DUMMYFUNCTION("""COMPUTED_VALUE"""),"It's important to communicate with students that DevOps is not buzzword, it is extremely serious.")</f>
        <v>It's important to communicate with students that DevOps is not buzzword, it is extremely serious.</v>
      </c>
      <c r="F174" s="35"/>
      <c r="G174" s="7" t="s">
        <v>9</v>
      </c>
      <c r="H174" s="54"/>
      <c r="I174" s="15" t="s">
        <v>9</v>
      </c>
      <c r="J174" s="49"/>
      <c r="K174" s="4"/>
      <c r="L174" s="4"/>
      <c r="M174" s="4"/>
      <c r="N174" s="4"/>
    </row>
    <row r="175">
      <c r="A175" s="53">
        <v>189.0</v>
      </c>
      <c r="B175" s="27" t="s">
        <v>27</v>
      </c>
      <c r="C175" s="27" t="s">
        <v>31</v>
      </c>
      <c r="D175" s="10" t="str">
        <f>IFERROR(__xludf.DUMMYFUNCTION("filter('Imported Recommendations'!B:D,'Imported Recommendations'!A:A=A175)"),"Then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E175" s="35"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F175" s="35"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G175" s="7" t="s">
        <v>9</v>
      </c>
      <c r="H175" s="54"/>
      <c r="I175" s="15" t="s">
        <v>9</v>
      </c>
      <c r="J175" s="49"/>
      <c r="K175" s="4"/>
      <c r="L175" s="4"/>
      <c r="M175" s="4"/>
      <c r="N175" s="4"/>
    </row>
    <row r="176">
      <c r="A176" s="53">
        <v>190.0</v>
      </c>
      <c r="B176" s="27" t="s">
        <v>24</v>
      </c>
      <c r="C176" s="27" t="s">
        <v>31</v>
      </c>
      <c r="D176" s="10" t="str">
        <f>IFERROR(__xludf.DUMMYFUNCTION("filter('Imported Recommendations'!B:D,'Imported Recommendations'!A:A=A176)"),"So, uh, we didn't have some predefined, uh, projects, and as we can, yes, this was a bigger problem for us.")</f>
        <v>So, uh, we didn't have some predefined, uh, projects, and as we can, yes, this was a bigger problem for us.</v>
      </c>
      <c r="E176" s="25" t="str">
        <f>IFERROR(__xludf.DUMMYFUNCTION("""COMPUTED_VALUE"""),"Predefined project is important for the organization of the course.")</f>
        <v>Predefined project is important for the organization of the course.</v>
      </c>
      <c r="F176" s="35"/>
      <c r="G176" s="7" t="s">
        <v>8</v>
      </c>
      <c r="H176" s="7"/>
      <c r="I176" s="15" t="s">
        <v>8</v>
      </c>
      <c r="J176" s="49"/>
      <c r="K176" s="4" t="s">
        <v>25</v>
      </c>
      <c r="L176" s="4" t="s">
        <v>25</v>
      </c>
      <c r="M176" s="4"/>
      <c r="N176" s="4"/>
    </row>
    <row r="177">
      <c r="A177" s="53">
        <v>191.0</v>
      </c>
      <c r="B177" s="27" t="s">
        <v>26</v>
      </c>
      <c r="C177" s="27" t="s">
        <v>31</v>
      </c>
      <c r="D177" s="10" t="str">
        <f>IFERROR(__xludf.DUMMYFUNCTION("filter('Imported Recommendations'!B:D,'Imported Recommendations'!A:A=A177)"),"In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E177" s="35"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F177" s="35"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G177" s="7" t="s">
        <v>8</v>
      </c>
      <c r="H177" s="54"/>
      <c r="I177" s="15" t="s">
        <v>8</v>
      </c>
      <c r="J177" s="49"/>
      <c r="K177" s="4" t="s">
        <v>25</v>
      </c>
      <c r="L177" s="4" t="s">
        <v>25</v>
      </c>
      <c r="M177" s="4"/>
      <c r="N177" s="4"/>
    </row>
    <row r="178">
      <c r="A178" s="53">
        <v>192.0</v>
      </c>
      <c r="B178" s="27" t="s">
        <v>27</v>
      </c>
      <c r="C178" s="27" t="s">
        <v>31</v>
      </c>
      <c r="D178" s="10" t="str">
        <f>IFERROR(__xludf.DUMMYFUNCTION("filter('Imported Recommendations'!B:D,'Imported Recommendations'!A:A=A178)"),"And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E178" s="35"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F178" s="35" t="str">
        <f>IFERROR(__xludf.DUMMYFUNCTION("""COMPUTED_VALUE"""),"Make students engage with people from other teams in the classes.")</f>
        <v>Make students engage with people from other teams in the classes.</v>
      </c>
      <c r="G178" s="7" t="s">
        <v>9</v>
      </c>
      <c r="H178" s="31"/>
      <c r="I178" s="15" t="s">
        <v>9</v>
      </c>
      <c r="J178" s="49"/>
      <c r="K178" s="4" t="s">
        <v>25</v>
      </c>
      <c r="L178" s="4"/>
      <c r="M178" s="4"/>
      <c r="N178" s="4"/>
    </row>
    <row r="179">
      <c r="A179" s="53">
        <v>193.0</v>
      </c>
      <c r="B179" s="27" t="s">
        <v>24</v>
      </c>
      <c r="C179" s="27" t="s">
        <v>31</v>
      </c>
      <c r="D179" s="10" t="str">
        <f>IFERROR(__xludf.DUMMYFUNCTION("filter('Imported Recommendations'!B:D,'Imported Recommendations'!A:A=A179)"),"if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E179" s="35" t="str">
        <f>IFERROR(__xludf.DUMMYFUNCTION("""COMPUTED_VALUE"""),"Teacher assistants help students with basics of DevOps concepts and tools.")</f>
        <v>Teacher assistants help students with basics of DevOps concepts and tools.</v>
      </c>
      <c r="F179" s="35"/>
      <c r="G179" s="7" t="s">
        <v>9</v>
      </c>
      <c r="H179" s="54"/>
      <c r="I179" s="15" t="s">
        <v>9</v>
      </c>
      <c r="J179" s="49"/>
      <c r="K179" s="4" t="s">
        <v>25</v>
      </c>
      <c r="L179" s="4" t="s">
        <v>25</v>
      </c>
      <c r="M179" s="4"/>
      <c r="N179" s="4"/>
    </row>
    <row r="180">
      <c r="A180" s="53">
        <v>194.0</v>
      </c>
      <c r="B180" s="27" t="s">
        <v>26</v>
      </c>
      <c r="C180" s="27" t="s">
        <v>31</v>
      </c>
      <c r="D180" s="10" t="str">
        <f>IFERROR(__xludf.DUMMYFUNCTION("filter('Imported Recommendations'!B:D,'Imported Recommendations'!A:A=A180)"),"I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E180" s="35" t="str">
        <f>IFERROR(__xludf.DUMMYFUNCTION("""COMPUTED_VALUE"""),"Two months with four hours in each week is enough to students with some background about software engineering.")</f>
        <v>Two months with four hours in each week is enough to students with some background about software engineering.</v>
      </c>
      <c r="F180" s="35"/>
      <c r="G180" s="7" t="s">
        <v>8</v>
      </c>
      <c r="H180" s="54"/>
      <c r="I180" s="15" t="s">
        <v>9</v>
      </c>
      <c r="J180" s="21"/>
      <c r="K180" s="4" t="s">
        <v>25</v>
      </c>
      <c r="L180" s="4"/>
      <c r="M180" s="4" t="s">
        <v>28</v>
      </c>
      <c r="N180" s="4" t="s">
        <v>43</v>
      </c>
    </row>
    <row r="181">
      <c r="A181" s="53">
        <v>195.0</v>
      </c>
      <c r="B181" s="27" t="s">
        <v>27</v>
      </c>
      <c r="C181" s="27" t="s">
        <v>31</v>
      </c>
      <c r="D181" s="10" t="str">
        <f>IFERROR(__xludf.DUMMYFUNCTION("filter('Imported Recommendations'!B:D,'Imported Recommendations'!A:A=A181)"),"So I had to find one that was dying and, uh, hopefully the colleague who was handling his dying course forgot to answer to an email.")</f>
        <v>So I had to find one that was dying and, uh, hopefully the colleague who was handling his dying course forgot to answer to an email.</v>
      </c>
      <c r="E181" s="35" t="str">
        <f>IFERROR(__xludf.DUMMYFUNCTION("""COMPUTED_VALUE"""),"Look for a dying course to include a DevOps one in the curriculum.")</f>
        <v>Look for a dying course to include a DevOps one in the curriculum.</v>
      </c>
      <c r="F181" s="35"/>
      <c r="G181" s="7" t="s">
        <v>9</v>
      </c>
      <c r="H181" s="54"/>
      <c r="I181" s="15" t="s">
        <v>9</v>
      </c>
      <c r="J181" s="49"/>
      <c r="K181" s="4"/>
      <c r="L181" s="4"/>
      <c r="M181" s="4"/>
      <c r="N181" s="4"/>
    </row>
    <row r="182">
      <c r="A182" s="53">
        <v>196.0</v>
      </c>
      <c r="B182" s="27" t="s">
        <v>24</v>
      </c>
      <c r="C182" s="27" t="s">
        <v>31</v>
      </c>
      <c r="D182" s="10" t="str">
        <f>IFERROR(__xludf.DUMMYFUNCTION("filter('Imported Recommendations'!B:D,'Imported Recommendations'!A:A=A182)"),"So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E182" s="35" t="str">
        <f>IFERROR(__xludf.DUMMYFUNCTION("""COMPUTED_VALUE"""),"Constantly discuss and share the DevOps teaching in an open way.")</f>
        <v>Constantly discuss and share the DevOps teaching in an open way.</v>
      </c>
      <c r="F182" s="35"/>
      <c r="G182" s="7" t="s">
        <v>9</v>
      </c>
      <c r="H182" s="54"/>
      <c r="I182" s="15" t="s">
        <v>9</v>
      </c>
      <c r="J182" s="49"/>
      <c r="K182" s="4"/>
      <c r="L182" s="4"/>
      <c r="M182" s="4"/>
      <c r="N182" s="4"/>
    </row>
    <row r="183">
      <c r="A183" s="53">
        <v>197.0</v>
      </c>
      <c r="B183" s="27" t="s">
        <v>26</v>
      </c>
      <c r="C183" s="27" t="s">
        <v>31</v>
      </c>
      <c r="D183" s="10" t="str">
        <f>IFERROR(__xludf.DUMMYFUNCTION("filter('Imported Recommendations'!B:D,'Imported Recommendations'!A:A=A183)"),"So this guy was really half time IBM and half time in the faculty of engineering.")</f>
        <v>So this guy was really half time IBM and half time in the faculty of engineering.</v>
      </c>
      <c r="E183" s="35" t="str">
        <f>IFERROR(__xludf.DUMMYFUNCTION("""COMPUTED_VALUE"""),"Teachers could be half time industrial and half time faculty.")</f>
        <v>Teachers could be half time industrial and half time faculty.</v>
      </c>
      <c r="F183" s="35"/>
      <c r="G183" s="7" t="s">
        <v>8</v>
      </c>
      <c r="H183" s="54"/>
      <c r="I183" s="15" t="s">
        <v>8</v>
      </c>
      <c r="J183" s="49"/>
      <c r="K183" s="4"/>
      <c r="L183" s="4"/>
      <c r="M183" s="4"/>
      <c r="N183" s="4"/>
    </row>
    <row r="184">
      <c r="A184" s="53">
        <v>198.0</v>
      </c>
      <c r="B184" s="27" t="s">
        <v>27</v>
      </c>
      <c r="C184" s="27" t="s">
        <v>31</v>
      </c>
      <c r="D184" s="10" t="str">
        <f>IFERROR(__xludf.DUMMYFUNCTION("filter('Imported Recommendations'!B:D,'Imported Recommendations'!A:A=A184)"),"we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E184" s="35" t="str">
        <f>IFERROR(__xludf.DUMMYFUNCTION("""COMPUTED_VALUE"""),"DevOps tools are well integrated in Bluemix platform from IBM.")</f>
        <v>DevOps tools are well integrated in Bluemix platform from IBM.</v>
      </c>
      <c r="F184" s="35"/>
      <c r="G184" s="7" t="s">
        <v>9</v>
      </c>
      <c r="H184" s="54"/>
      <c r="I184" s="15" t="s">
        <v>9</v>
      </c>
      <c r="J184" s="49"/>
      <c r="K184" s="4"/>
      <c r="L184" s="4"/>
      <c r="M184" s="4"/>
      <c r="N184" s="4"/>
    </row>
    <row r="185">
      <c r="A185" s="53">
        <v>199.0</v>
      </c>
      <c r="B185" s="27" t="s">
        <v>24</v>
      </c>
      <c r="C185" s="27" t="s">
        <v>31</v>
      </c>
      <c r="D185" s="10" t="str">
        <f>IFERROR(__xludf.DUMMYFUNCTION("filter('Imported Recommendations'!B:D,'Imported Recommendations'!A:A=A185)"),"And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E185" s="35" t="str">
        <f>IFERROR(__xludf.DUMMYFUNCTION("""COMPUTED_VALUE"""),"DevOps course as elective course have students that wanted to learn about DevOps.")</f>
        <v>DevOps course as elective course have students that wanted to learn about DevOps.</v>
      </c>
      <c r="F185" s="35"/>
      <c r="G185" s="7" t="s">
        <v>9</v>
      </c>
      <c r="H185" s="54"/>
      <c r="I185" s="15" t="s">
        <v>9</v>
      </c>
      <c r="J185" s="49"/>
      <c r="K185" s="4"/>
      <c r="L185" s="4"/>
      <c r="M185" s="4"/>
      <c r="N185" s="4"/>
    </row>
    <row r="186">
      <c r="A186" s="53">
        <v>200.0</v>
      </c>
      <c r="B186" s="27" t="s">
        <v>26</v>
      </c>
      <c r="C186" s="27" t="s">
        <v>31</v>
      </c>
      <c r="D186" s="10" t="str">
        <f>IFERROR(__xludf.DUMMYFUNCTION("filter('Imported Recommendations'!B:D,'Imported Recommendations'!A:A=A186)"),"what we've done was first to, um, continuously evaluate the teams are they were working on the project.")</f>
        <v>what we've done was first to, um, continuously evaluate the teams are they were working on the project.</v>
      </c>
      <c r="E186" s="35" t="str">
        <f>IFERROR(__xludf.DUMMYFUNCTION("""COMPUTED_VALUE"""),"Make a continuous evaluation of the projects of the students.")</f>
        <v>Make a continuous evaluation of the projects of the students.</v>
      </c>
      <c r="F186" s="35"/>
      <c r="G186" s="7" t="s">
        <v>8</v>
      </c>
      <c r="H186" s="54"/>
      <c r="I186" s="15" t="s">
        <v>8</v>
      </c>
      <c r="J186" s="49"/>
      <c r="K186" s="4"/>
      <c r="L186" s="4"/>
      <c r="M186" s="4"/>
      <c r="N186" s="4"/>
    </row>
  </sheetData>
  <dataValidations>
    <dataValidation type="list" allowBlank="1" sqref="M2:M186">
      <formula1>"first,second"</formula1>
    </dataValidation>
    <dataValidation type="list" allowBlank="1" sqref="G2:G186 I2:I186">
      <formula1>"yes,no"</formula1>
    </dataValidation>
  </dataValidations>
  <drawing r:id="rId1"/>
</worksheet>
</file>