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hallenges" sheetId="1" r:id="rId4"/>
    <sheet state="visible" name="Recommendations" sheetId="2" r:id="rId5"/>
    <sheet state="visible" name="Paper Challenges Quotes" sheetId="3" r:id="rId6"/>
    <sheet state="visible" name="Paper Recommendations Quotes" sheetId="4" r:id="rId7"/>
    <sheet state="visible" name="Primary Papers" sheetId="5" r:id="rId8"/>
    <sheet state="visible" name="Analysis" sheetId="6" r:id="rId9"/>
  </sheets>
  <definedNames>
    <definedName name="recommendationsCitationsTheme">'Paper Recommendations Quotes'!$E$2:$E$90</definedName>
    <definedName name="recommendationsAmountOfPapers">#REF!</definedName>
    <definedName name="recommendationsCitationsRepeated">'Paper Recommendations Quotes'!$B$2:$B$90</definedName>
    <definedName name="challengesCitationsNumber">'Paper Challenges Quotes'!$C$2:$C$92</definedName>
    <definedName name="challengesAmountOfPapers">#REF!</definedName>
    <definedName name="recommendationsTheme">Recommendations!$C$3:$C$85</definedName>
    <definedName name="recommendationsCitationsNumber">'Paper Recommendations Quotes'!$C$2:$C$90</definedName>
    <definedName name="challengesDevOpsSpecific">#REF!</definedName>
    <definedName name="challengesAmountOfRecommendationsLinks">#REF!</definedName>
    <definedName name="challengesTheme">Challenges!$C$3:$C$75</definedName>
    <definedName name="recommendationsAmountOfChallengesLinks">#REF!</definedName>
    <definedName name="challengesCitationsTheme">'Paper Challenges Quotes'!$E$2:$E$92</definedName>
    <definedName name="challengesCitationsRepeated">'Paper Challenges Quotes'!$B$2:$B$92</definedName>
    <definedName name="recommendationsDevOpsSpecific">#REF!</definedName>
  </definedNames>
  <calcPr/>
</workbook>
</file>

<file path=xl/sharedStrings.xml><?xml version="1.0" encoding="utf-8"?>
<sst xmlns="http://schemas.openxmlformats.org/spreadsheetml/2006/main" count="869" uniqueCount="457">
  <si>
    <t>RSL</t>
  </si>
  <si>
    <t>Inverviews</t>
  </si>
  <si>
    <t>Number</t>
  </si>
  <si>
    <t>Papers</t>
  </si>
  <si>
    <t>Theme</t>
  </si>
  <si>
    <t>Challenge</t>
  </si>
  <si>
    <t>Interview Challenge Id</t>
  </si>
  <si>
    <t>Interview Challenge</t>
  </si>
  <si>
    <t>Reviewer</t>
  </si>
  <si>
    <t>DevOps culture is hard to teach.</t>
  </si>
  <si>
    <t>no</t>
  </si>
  <si>
    <t>Large class assessment requires great effort.</t>
  </si>
  <si>
    <t>yes</t>
  </si>
  <si>
    <t>Insufficient knowledge level of students to start the course.</t>
  </si>
  <si>
    <t>It is arduous to analyse the code and run scripts for each project.</t>
  </si>
  <si>
    <t>Insufficient literature related to teach DevOps.</t>
  </si>
  <si>
    <t>There is no convention as to what are the main DevOps concepts that should be taught.</t>
  </si>
  <si>
    <t>There is no convention about DevOps concepts.</t>
  </si>
  <si>
    <t>Prepare the labs environment requires a lot of time.</t>
  </si>
  <si>
    <t>Difficulty dealing with assessments based on a traditional test model.</t>
  </si>
  <si>
    <t>Comunications with students is hard when classes are remote.</t>
  </si>
  <si>
    <t>It is difficult to create a DevOps course without a previous reference ones. Related: Few universities have a DevOps course.</t>
  </si>
  <si>
    <t>Rapid and constant changes in DevOps make it difficult to create a teaching plan.</t>
  </si>
  <si>
    <t>Teach operational activities is ignored because it is hard.</t>
  </si>
  <si>
    <t>The multidiscuplinary of DevOps is hard to deal with.</t>
  </si>
  <si>
    <t>Many devops concepts need to be taught.</t>
  </si>
  <si>
    <t>Insufficient time in the course to teach DevOps.</t>
  </si>
  <si>
    <t>It is difficult to students understand how the pipeline deployment works and not just running it.</t>
  </si>
  <si>
    <t>It's challeging to balance DevOps theory and practice.</t>
  </si>
  <si>
    <t>It's challeging to be up-to-date with industrial DevOps tools.</t>
  </si>
  <si>
    <t>Skills to teach DevOps are challeging.</t>
  </si>
  <si>
    <t>It's hard for students to see the values of deployment side and they don't want to do operational activities.</t>
  </si>
  <si>
    <t>It's challeging to find the right sized examples to teach DevOps.</t>
  </si>
  <si>
    <t>Setting up the infrastructure is difficulty.</t>
  </si>
  <si>
    <t>You need a lot of interconnected machines running different services with visibility on each other to do continous deployment.</t>
  </si>
  <si>
    <t>It's hard to supervise students' work when you use a lot of virtual machines.</t>
  </si>
  <si>
    <t>Environment set up in a cloud service cost money.</t>
  </si>
  <si>
    <t>4
9</t>
  </si>
  <si>
    <t>Cloud providers usage has limits.
Institutions' resources have limits.</t>
  </si>
  <si>
    <t>It was hard to have the same criteria and metric for scoring different students because they were free to use any technology and present it.</t>
  </si>
  <si>
    <t>There is a lack between what the industry wants from students about DevOps and what the university teaches.</t>
  </si>
  <si>
    <t>Small examples weren't really satisfactory.</t>
  </si>
  <si>
    <t>8
74</t>
  </si>
  <si>
    <t>Insufficient time in the course to teach DevOps.
They don't have time to practice on Kubernetes because it is lot of work.</t>
  </si>
  <si>
    <t>DevOps course doesn't look relevant for undergratuate students when you start teaching.</t>
  </si>
  <si>
    <t>There is a large number of DevOps tools.</t>
  </si>
  <si>
    <t>It's hard to show to students that DevOps is not all about tooling.</t>
  </si>
  <si>
    <t>Limited computional resources.</t>
  </si>
  <si>
    <t>Unknown specific devops educational supportive environment.</t>
  </si>
  <si>
    <t>Interviews</t>
  </si>
  <si>
    <t>Recommendation</t>
  </si>
  <si>
    <t>Interview Recommendation Id</t>
  </si>
  <si>
    <t>Interview Recommendation</t>
  </si>
  <si>
    <t>Grade students based on their learning journey and mistakes. What's important is how they get there, because every failure is learning opportunity.</t>
  </si>
  <si>
    <t>Seek to know in advance the needs and limitations of the class.</t>
  </si>
  <si>
    <t>Teach students to know how to sell DevOps benefits to their directors who are from the business area. For example, pipeline reduce developers work time and save money. You can also build a new feature or add a new product that the business has.</t>
  </si>
  <si>
    <t xml:space="preserve">Use other DevOps courses as a reference.
</t>
  </si>
  <si>
    <t>The courses of software architecture and DevOps taught together.</t>
  </si>
  <si>
    <t>DevOps deserves a discipline in the curriculum.</t>
  </si>
  <si>
    <t>DevOps course as elective course have students that wanted to learn about DevOps.</t>
  </si>
  <si>
    <t>Work on improving students' skills related to non-functional requirements.</t>
  </si>
  <si>
    <t>separate the dev and ops part into different courses.</t>
  </si>
  <si>
    <t>Two months with four hours in each week is enough to students with some background about software engineering.</t>
  </si>
  <si>
    <t>Teacher assistants are helpful with labs.</t>
  </si>
  <si>
    <t>Teach the DevOps mindset.</t>
  </si>
  <si>
    <t>Study the tools more when you go into the concepts. For example, deep Docker when you teach containers.</t>
  </si>
  <si>
    <t>Start with a generic perspective of DevOps, basic concepts, and after a few weeks start to focus on specialized issues.</t>
  </si>
  <si>
    <t>Focus more on the practical part compared to the theoretical part of DevOps.</t>
  </si>
  <si>
    <t>Teach using examples.</t>
  </si>
  <si>
    <t>Teachers could be half time industrial and half time faculty.</t>
  </si>
  <si>
    <t>Teach continuous integration and pipeline automation.</t>
  </si>
  <si>
    <t>Monitoring of students through activities in a learning support environment.</t>
  </si>
  <si>
    <t>141
36</t>
  </si>
  <si>
    <t>Use cloud SAS providers to avoid spending a lot of time installations and configurations.
Use cloud provider services.</t>
  </si>
  <si>
    <t>165
190</t>
  </si>
  <si>
    <t>The project of the class should not be very small and must be challenging.
Predefined project is important for the organization of the course.</t>
  </si>
  <si>
    <t>165
190
52</t>
  </si>
  <si>
    <t>The project of the class should not be very small and must be challenging.
Predefined project is important for the organization of the course.
Create tutorials to help students.</t>
  </si>
  <si>
    <t>150
155</t>
  </si>
  <si>
    <t>We let the students build only one project, one code base
Force students to use technology stack used on course.</t>
  </si>
  <si>
    <t>Provide fast feedback to the students.</t>
  </si>
  <si>
    <t>Do not force the technology stack used by students in their systems.</t>
  </si>
  <si>
    <t>Try to bring industrial speakers to share their experience. Invite people to show students what's going on in practice, not only in theoretical problems.</t>
  </si>
  <si>
    <t xml:space="preserve">Incremental teaching method based on projects and practical activities. </t>
  </si>
  <si>
    <t>Explain the course objectives to the students.</t>
  </si>
  <si>
    <t>120
132</t>
  </si>
  <si>
    <t>Make the group motivation a responsibility of themselves.
Try to get the student having fun in order to keep them engaged.</t>
  </si>
  <si>
    <t>112
113</t>
  </si>
  <si>
    <t>Problem-Based Learning (PBL) is great for teaching DevOps.
Merge good practices of Problem-Based Learning (PBL), inverted class and Agile, through classroom experimentation.</t>
  </si>
  <si>
    <t>Problem-Based Learning (PBL) is great for teaching DevOps.</t>
  </si>
  <si>
    <t>Teaching method based on practical activities.</t>
  </si>
  <si>
    <t>Simulate real problems with the students.</t>
  </si>
  <si>
    <t>It is essential to mix the teaching of the theoretical part and the practical part of DevOps.</t>
  </si>
  <si>
    <t>Use Agile approaches in DevOps classes.</t>
  </si>
  <si>
    <t>Organize the students into teams.</t>
  </si>
  <si>
    <t>Interact with the students.</t>
  </si>
  <si>
    <t>Select industrial speakers carefully to share their experience with the students.</t>
  </si>
  <si>
    <t>52
147</t>
  </si>
  <si>
    <t>Create tutorials to help students..
Provide jump-starting examples of commonly used commands of tools.</t>
  </si>
  <si>
    <t>Show the student that there are several ways and tools to do the task.</t>
  </si>
  <si>
    <t>Study the subject thoroughly before preparing for classes.</t>
  </si>
  <si>
    <t>Use a simple example system made by students. (ABSTRACAO: The students could build their own system during the course.)</t>
  </si>
  <si>
    <t>Use a learning tool to easy the DevOps teaching.</t>
  </si>
  <si>
    <t>Docker can be chosen as DevOps tool.</t>
  </si>
  <si>
    <t xml:space="preserve">Cloud service companies such as AWS, through a contract with an educational institution, can provide the computing resource for the student's use. (MAIN: Use cloud provider services with students plans.)
</t>
  </si>
  <si>
    <t>Challenge Quote</t>
  </si>
  <si>
    <t>Challenge Repeated</t>
  </si>
  <si>
    <t>Paper</t>
  </si>
  <si>
    <t>Teaching DevOps mindset is not straightforward easy to assess.</t>
  </si>
  <si>
    <t>assessment</t>
  </si>
  <si>
    <t>Teaching DevOps mindset is difficult to assess.</t>
  </si>
  <si>
    <t>DevOps requires highly complex execution architectures consisting of 5-10-20 servers which both pose a challenge on how to evaluate the systems developed and submitted by our students.</t>
  </si>
  <si>
    <t>to evaluate students' work using realistic environment used by is difficult</t>
  </si>
  <si>
    <t>the more frequent than ever delivery in DevOps practicing will inevitably increase the workload vastly for teachers to conduct effective evaluation.</t>
  </si>
  <si>
    <t>DevOps increases evaluation workload for teachers</t>
  </si>
  <si>
    <t>students quit the course because of evaluation mechanism (continuous project-based assessment)</t>
  </si>
  <si>
    <t>students quit the course because of evaluation</t>
  </si>
  <si>
    <t>Although the students considered their previous knowledge on agile good, they were not able to assess their missing skills reliably.</t>
  </si>
  <si>
    <t>assessement of previous students knowledge on agile was not good.</t>
  </si>
  <si>
    <t>Automated assessment of programming exercises is hard, and assessment of client-server systems relying on many external services (client, server, replicated databases, caching services, message queues, credential servers, etc.) are even harder, as the solution space is vast, and setting up the proper execution context for a particular test case is complex.</t>
  </si>
  <si>
    <t>Automated assessment of programming exercises is hard.</t>
  </si>
  <si>
    <t xml:space="preserve">The exam grading based upon accumulated scores on exercises was initially also envisioned in order to avoid spending much time on a final oral or written exam. In addition it was envisioned that we would have time to build some kind of automated assessment, partly inspired by [6], that could save time. In the end, however, the assessment process turned out to be somewhat frustrating, due to a number of factors. First, we did not have time to make anything but the most rudimentary automated testing of submissions, leaving most of it to manual processes. </t>
  </si>
  <si>
    <t>the automated assessment elaboration take time</t>
  </si>
  <si>
    <t>Second, as mentioned earlier it is daunting to setup a proper testing environment of 5-10-20 servers, which meant that some of the evaluation (especially the later and more complex exercises) was done by code review instead of by system execution.</t>
  </si>
  <si>
    <t>assessment of complex exercises were done with code review instead of system execution.</t>
  </si>
  <si>
    <t>Forth, the ‘no deadline’ meant that the in-coming queue late in the course contained submissions from all iterations, so you would review one submission solving an exercise from week 6 while the next was an exercise from week 1—thus you had to have the full spectrum of exercises in fresh mind to assess consistently.</t>
  </si>
  <si>
    <t>the ‘no deadline’ meant that the in-coming queue late in the course contained submissions from all iterations</t>
  </si>
  <si>
    <t xml:space="preserve">Third, the ‘unlimited submission’ strategy had the unfortunate consequence of many groups being sloppy with their submission—thus we wasted quite a lot of time on retrieving Docker images only to find that the submitted code could not even compile. </t>
  </si>
  <si>
    <t>the ‘unlimited submission’ strategy had the unfortunate consequence of sloppy submissions</t>
  </si>
  <si>
    <t>the TAs wasted much time pulling images only to find that the contents failed in some trivial way unrelated to the actual exercise solution.</t>
  </si>
  <si>
    <t>Wasted much time with trivial errors unrelated to the actual exercise solution.</t>
  </si>
  <si>
    <t>Related work on the subject of CD in education has so far been limited.</t>
  </si>
  <si>
    <t>classes preparation</t>
  </si>
  <si>
    <t>limited research in teaching DevOps</t>
  </si>
  <si>
    <t>Very few papers have been published about teaching DevOps.</t>
  </si>
  <si>
    <t>x</t>
  </si>
  <si>
    <t>there has been limited research into effective teaching practices for incorporating continuous integration and delivery concepts into traditional software engineering courses.</t>
  </si>
  <si>
    <t>There is little research into effective teaching pratices for incorporating DevOps into traditional software engineer courses</t>
  </si>
  <si>
    <t>He chose to insist on the lack of a proper and sound theory of DevOps. For example, for the composability of the different artifacts or the different pipelines that are defined, what is the correct-ness or how to validate these pipelines? Or even, how to orchestrate correctly these pipelines? The scientific community should work about it in the future, said Combemale.</t>
  </si>
  <si>
    <t>lack of a proper and sound theory of DevOps</t>
  </si>
  <si>
    <t>as the topic of DevOps has not yet been standardized within either the Software Engineering Body of Knowledge [2] nor the Computer Science Curriculum Guidelines [3], a consistent set of courses and model for DevOps curricula is still in need of development.</t>
  </si>
  <si>
    <t>DevOps has not yet standardized with the Software Engineerigin Body of Knowledge</t>
  </si>
  <si>
    <t>the difficult is something that educators need to be conscious about when planning and conducting their teaching.</t>
  </si>
  <si>
    <t>educators need to be conscious about when planning and conducting their teaching.</t>
  </si>
  <si>
    <t>the teaching staff had to invest a non-negligible time in the preparation of the second edition of the course, in particular in the project descriptions to achieve a equal level of complexity among them (very challenging task).</t>
  </si>
  <si>
    <r>
      <rPr>
        <rFont val="Arial"/>
        <color theme="1"/>
      </rPr>
      <t>the teaching staff had to invest a non-negligible time in the preparation of the course</t>
    </r>
    <r>
      <rPr>
        <rFont val="Arial"/>
        <color theme="1"/>
      </rPr>
      <t>.</t>
    </r>
  </si>
  <si>
    <t>We realized that the questionnaire may have been ambiguous in some parts, and possibly too generic. For example, we were not prepared for the fact that more than one heterogeneous team would be participating, which made some questions irrelevant and did not target all the participants.</t>
  </si>
  <si>
    <t>the questionnaire may have been ambiguous in some parts, and possibly too generic.</t>
  </si>
  <si>
    <t>we had to spend considerable amount of time collecting missing information on-site about the teams participating and technologies they used.</t>
  </si>
  <si>
    <t>spend considerable amount of time collecting information on-site about the teams and technologies they used</t>
  </si>
  <si>
    <t xml:space="preserve">Due to the high level of corporate privacy, we could not use internal data of the company. </t>
  </si>
  <si>
    <t>unable to collect information because of corporate privacy</t>
  </si>
  <si>
    <t>One of the limitations we had to cope with, often but not always, is the fact that bilateral previous communication with teams is not always possible or facilitated.</t>
  </si>
  <si>
    <t>Bilateral previous communication with teams is not always possible or facilitated.</t>
  </si>
  <si>
    <t>DevOps still received minor attention in higher education.</t>
  </si>
  <si>
    <t>curriculum</t>
  </si>
  <si>
    <t>However, when focusing on the first two years of Bachelor education, it can be seen that the backbone of the curricula is still outdated (due to legacy reasons, and sometimes, ideological ones).</t>
  </si>
  <si>
    <t>curricula is still outdated.</t>
  </si>
  <si>
    <t>Nevertheless, most of the traditional software engineering courses only emphasize on the early and middle phases of the software lifecycle (i.e. requirements, design, programming, testing and tooling) while the production stage (i.e. deployment, maintenance) are often ignored or just treated in theory. In short, they teach “Dev” rather than “Ops” [14].</t>
  </si>
  <si>
    <t>courses teach “Dev” rather than “Ops”</t>
  </si>
  <si>
    <t>Traditional software engineering (SE) curriculum typically emphasizes early and middle phases of the software lifecycle (requirements, design, programming, testing, and tooling) while late phases are ignored or only treated in theory (deployment, maintenance).</t>
  </si>
  <si>
    <t>Furthermore, Computer Science curricula have a strong emphasis on the ”Dev” part, but cover the ”Ops” part only marginally, for example as little modules inside courses such as Operating Systems and Databases.</t>
  </si>
  <si>
    <t>The critical importance of such cultural change provided by DevOps in the way companies build software should not be undervalued. It is in this regard that higher education institutions should put a major effort to fine tune their curricula and cooperative programme in order to meet this challenge.</t>
  </si>
  <si>
    <t>Devops mindset should be considered to fine tune curricula.</t>
  </si>
  <si>
    <t>Teaching DevOps in higher education is challenging for multiple reasons. First, it is multidisciplinary and therefore crosscutting the traditional course boundaries by requiring t-shaped skills from the educators</t>
  </si>
  <si>
    <t>Teaching DevOps is multidisciplinary and therefore crosscutting the traditional course boundaries.</t>
  </si>
  <si>
    <t>DevOps emphasizes hybrid skills, i.e. skills that crosscut the classical boundaries between the courses we typical offer at universities.</t>
  </si>
  <si>
    <t>students (very often) with weak analytical and technical skills.</t>
  </si>
  <si>
    <t>students prerequisite was insufficient</t>
  </si>
  <si>
    <t xml:space="preserve">Preparation- the level and depth of the prerequisite Unix course was insufficient for being prepared for the DevOps course. </t>
  </si>
  <si>
    <t>Students’ feedback collected through general discussions organised at the end of checkpoint sessions and individual interviews made during the project follow-up sessions confirmed agreement about the following facts: “hard time to get into the project’s subject”, “very hard work to get the project done”, “high effort vs. course ECTS”, and “unbalance between practical and theoretical work”.</t>
  </si>
  <si>
    <t>high effort vs. course ECTS</t>
  </si>
  <si>
    <t>students quit the course because of its (expected) workload</t>
  </si>
  <si>
    <t>students quit the course because of workload</t>
  </si>
  <si>
    <t>Introducing continuous delivery and continous integration introduces complexities due to the learning curve of the amount of time available for teaching these topics.</t>
  </si>
  <si>
    <t>The little time available to teaching complexities of CD and CI.</t>
  </si>
  <si>
    <t>the limited time to present and work out the subjects related to a Deployment Pipeline</t>
  </si>
  <si>
    <t>Some of the students considered the reading material too wide for such a short time frame. (2 weeks for 125 learning hours)</t>
  </si>
  <si>
    <t>It was shot time frame (two weeks) in 125 hours for students' workload.</t>
  </si>
  <si>
    <t>This can make it quite difficult to teach the concepts of continuous integration and delivery in software engineering courses where the majority of the time in the class is devoted to other concepts.</t>
  </si>
  <si>
    <t>the time available to teach CD and CI is devoted to other concepts</t>
  </si>
  <si>
    <t>Continuous integration and delivery pipelines can become extremely sophisticated and complex, with step in the pipeline’s process presenting a new learning curve.</t>
  </si>
  <si>
    <t>devops concepts</t>
  </si>
  <si>
    <t>CD and related concepts are complex.</t>
  </si>
  <si>
    <t>CD and related concepts are not trivial.</t>
  </si>
  <si>
    <t>Emphasize skills: Expertise relies on knowledge and skills, but DevOps is essentially a skill-focused competence: the ability to apply your knowledge in a concrete context to develop a working solution. Drawing the UML of the architecture of a passive replicating database on the whiteboard is the easy part— configuring and setting up the database cluster, and coding the infrastructure logic in your application server that correctly handles the exceptions thrown during the master election phase, is the tricky part.</t>
  </si>
  <si>
    <t>From the examination we observed that the students had difficulties in explaining Infrastructure as Code.</t>
  </si>
  <si>
    <t>students have difficulties in explaining IaC</t>
  </si>
  <si>
    <t>Teaching cultural enablers of DevOps or DevOps mindset is another challenge.</t>
  </si>
  <si>
    <t>teach DevOps mindset / cultural</t>
  </si>
  <si>
    <t>While working with industry we realised that the obstacles for the full adoption of DevOps are not only of technical nature, but also of mindset. This issue is difficult to solve since companies need to establish a radically new culture and transfer it to the new employees who join the company with a legacy mindset. The same situation may occur for fresh graduates. Classic curricula are very often based on the idea of system as a monolith and process as a waterfall.</t>
  </si>
  <si>
    <t>Still, different issues arise when materializing the course. As DevOps mainly deals with a technological pipelines, a trade-off must be found between using a complete and relevant stack, and understanding the DevOps principles and its pillars: platform, deployment, testing, and people</t>
  </si>
  <si>
    <t>trade-off between teaching practice (technological stacks) and theoric (principles and pillars)</t>
  </si>
  <si>
    <t>In the continuous deployment era, universities need to explore feasible ways to keep up with the technological development in a way that allows them concentrate on fundamentals and underpinning theories that help the students in lifelong learning but at the same time also keep the employability of a newly graduated in mind.</t>
  </si>
  <si>
    <t>Universities need to explore feasible ways to keep up with the technological development in a way that allows them concentrate on fundamentals and underpinning theories.</t>
  </si>
  <si>
    <t>Ops part is something that SE teachers need to learn in order to be able to teach it to students.</t>
  </si>
  <si>
    <t>teachers need to learn operations.</t>
  </si>
  <si>
    <t>DevOps emphasizes operations skills which is not a core area of expertise for the average university teacher.</t>
  </si>
  <si>
    <t>The challenge for educators is that they need to be able to teach both development and operations activities such as monitoring, networking, operations, operating systems</t>
  </si>
  <si>
    <t>teachers need to learn dev and opt activities</t>
  </si>
  <si>
    <t>The main challenge, especially from the very software-oriented audience, was to find ways of emphasizing the Ops part of the approach.</t>
  </si>
  <si>
    <t>the main challenge was to find ways of emphasizing the Ops part of the approach.</t>
  </si>
  <si>
    <t>The mutation testing pipeline is not perceived by students as useful as we envisioned</t>
  </si>
  <si>
    <t>The mutation testing pipeline is not perceived by students as useful</t>
  </si>
  <si>
    <t>Realistic environment: DevOps is the response to the challenge of speed, scale, and availability: more users than a single server can handle, software updates in production every few hours, providing end user services even in the face of failing subsystems and overloaded databases. Creating a (semi) realistic environment for students to practice within is not trivial.</t>
  </si>
  <si>
    <t>environment setup</t>
  </si>
  <si>
    <t>Creating a (semi) realistic environment for students to practice within is not trivial.</t>
  </si>
  <si>
    <t>Some students struggled with getting started and performing the initial setup of the activity.</t>
  </si>
  <si>
    <t>initial setup is complicated</t>
  </si>
  <si>
    <t>technology startup in the course.</t>
  </si>
  <si>
    <t>Secondly, it necessitates complex execution architectures and virtualization environments which are laborious to build up and maintain in a university environment</t>
  </si>
  <si>
    <t>DevOps requires complex and laborious architectures.</t>
  </si>
  <si>
    <t>DevOps requires highly complex execution architectures consisting of 5-10-20 servers which both pose a challenge on setting up the execution context for exercises submitted by our students.</t>
  </si>
  <si>
    <t>virtualization environments are laborious and complex.</t>
  </si>
  <si>
    <t>We are also looking into automated assessment of the actual exercises, but as argued, it is not trivial to setup a correct multi-server staging environment, and influence it to detect errors in the students’ submissions.</t>
  </si>
  <si>
    <t>Additional management and administration tasks for maintaining the virtual environment both increase costs and educators’ workload</t>
  </si>
  <si>
    <t>maintaining the virtual environment increase costs</t>
  </si>
  <si>
    <t>setup the tools and workflows increases the effort for educators.</t>
  </si>
  <si>
    <t>The CD course increases the effort for the teaching assistants who organize the course, because they need to setup the tools and workflows.</t>
  </si>
  <si>
    <t xml:space="preserve">Technology Concerns: Our use of AWS Educate was especially problematic given the constraint imposed both by their infrastructure as well as our own institutional security policies. </t>
  </si>
  <si>
    <t>contraints problems with cloud service and institutional security policies.</t>
  </si>
  <si>
    <t>pedagogy</t>
  </si>
  <si>
    <t>hard time to get into the project’s subject</t>
  </si>
  <si>
    <t>very hard work to get the project done</t>
  </si>
  <si>
    <t>The difficulty is to find realistic enough projects that students can still handle.</t>
  </si>
  <si>
    <t>On the other hand, it can simulate uncertainties in real project context as students face different customers, requirements, and development environment.</t>
  </si>
  <si>
    <t>it is difficult to work with real project</t>
  </si>
  <si>
    <t>For courses having over 100 enrollments in a semester, one fixed project for all students could be boring.</t>
  </si>
  <si>
    <t>one fixed project for all students could be boring.</t>
  </si>
  <si>
    <t>It is hard to see and control progress of the software development project without appropriate sharing of the known problems and progress of the software development tasks at each source code among team members.</t>
  </si>
  <si>
    <t>difficult to see and control progress of the development of the project</t>
  </si>
  <si>
    <t>While inspiring learning interests, such diversity also presents research challenges to process supervision and quality assessment, which existing software engineering platforms (for experienced software engineers) cannot directly deal with. It is very challenging to fairly and timely evaluate and provide feedback to students who have diversified customers, diversified development environments and techniques, diversified experience, and diversified roles in the project team, while the instructor-to-student ratio is low (e.g., about 1:100 in our case) and the SE project has to compete with several other heavy projects for a student’s time.</t>
  </si>
  <si>
    <t>It is very challenging to fairly and timely evaluate and provide feedback to students with diversified projects and limited resources of lecturers and teaching assistants..</t>
  </si>
  <si>
    <t>Differences between academia and industry education: Learners initial state, Learners attitude, Pace of education, Expectation</t>
  </si>
  <si>
    <t>Better bridges between education and work are thus needed.</t>
  </si>
  <si>
    <t>We defend that toy examples are not enough, and delivering such a content using isolated labs cannot lead to the comprehensive point of view we envisioned.</t>
  </si>
  <si>
    <t>toy examples are not enough to understand the subject</t>
  </si>
  <si>
    <t>unbalance between practical and theoretical work</t>
  </si>
  <si>
    <t>we found that our pace was far too accelerated and lacked the depth necessary for a clear understanding of the technologies.</t>
  </si>
  <si>
    <t>It was taught in accelerated mode and lacked the depth necessary for a clear understanding of the technologies.</t>
  </si>
  <si>
    <t>the biggest challenge our customer encountered was not how to automatise existing processes, but in fact how to set up the DevOps approach itself from scratch.</t>
  </si>
  <si>
    <t>how to set up the DevOps approach itself from scratch.</t>
  </si>
  <si>
    <t>students (very often) not motivated.</t>
  </si>
  <si>
    <t>students not motivated.</t>
  </si>
  <si>
    <t>Students’ motivation is crucial for a successful DevOps course</t>
  </si>
  <si>
    <t>technologies are not trivial.</t>
  </si>
  <si>
    <t>tools</t>
  </si>
  <si>
    <t>DevOps tools are complex.</t>
  </si>
  <si>
    <t>Continuous integration and delivery pipelines can become extremely sophisticated and complex, with each tool presenting a new learning curve.</t>
  </si>
  <si>
    <t>It can also be difficult for an instructor to learn each of the tools needed to build a complete pipeline.</t>
  </si>
  <si>
    <t>Many DevOps tools for teacher to learn.</t>
  </si>
  <si>
    <t>The explosion of DevOps tools makes it a big challenge for students, teachers even professionals in industry to choose suitable tool chain for their work.</t>
  </si>
  <si>
    <t>Another teaching challenge is the number of tools, techniques, and languages that are used, implying a tooling overhead and unsupported heterogeneity. It is very difficult to ensure interoperability, synchronization, and other properties among the different artifacts.</t>
  </si>
  <si>
    <t>Many tools, techniques and languages to learn in DevOps</t>
  </si>
  <si>
    <t>as industrially relevant technologies are still emerging and developing around DevOps and Continuous Delivery, obtaining and maintaining the needed knowledge and skills is time-consuming for a university lecturer who is not using these tools in their daily work.</t>
  </si>
  <si>
    <t>DevOps tools are new and time-consuming for a universitary lecturer.</t>
  </si>
  <si>
    <t>depending on the tools that the instructor is using to run the activity, they should be aware that there may be an involved learning curve.</t>
  </si>
  <si>
    <t>some devops tools involve learning curve.</t>
  </si>
  <si>
    <t>the overhead of keeping up with the industrial state-of-the-art at universities is often too high. Docker version changed multiple times during their course which typically is something that educators try to avoid even between teaching years. although Git, Jenkins and Docker might be representative tool selection this year, it could be that in a year or two, the industry has adopted another toolset.</t>
  </si>
  <si>
    <t>DevOps overhead of keeping up with the industrial state-of-the-art at universities is often too high.</t>
  </si>
  <si>
    <t>On the downside, Docker is also a bleeding edge technology. Moreover, at the time of writing, several of the key features we required students to use during the course have been marked as deprecated starting from release 1.9. More severe, however, was the constant updating of the tutorial material on Docker’s webpages, which meant that our course material and links, only one month old, was already becoming outdated.</t>
  </si>
  <si>
    <t xml:space="preserve">DevOps practices involve some investment. Students must learn and increase skills over these new tools and avoid the mistake of focusing only on these tools; </t>
  </si>
  <si>
    <t>Avoid focusing only on tools.</t>
  </si>
  <si>
    <t>Several virtual machines operate in parallel. This requires high computing power and can lead to resource-induced problems for computers of students.</t>
  </si>
  <si>
    <t>high computing power need can lead to resource-induced problems for computers of students.</t>
  </si>
  <si>
    <t>Although there exist some problems which ALECSS does not detect.</t>
  </si>
  <si>
    <t>specific learning tool does not detect all problems.</t>
  </si>
  <si>
    <t>identified that experience with git command line tools should be a prerequisite to the activity and lab.</t>
  </si>
  <si>
    <t>Git tool should be a prerequisite.</t>
  </si>
  <si>
    <t>We believe that students had a harder time understanding static analysis due to the lack of failures when static analysis detects possible issues.</t>
  </si>
  <si>
    <t>Static analysis tool lacks of failures when detect possible issues.</t>
  </si>
  <si>
    <t>Recommendation Quote</t>
  </si>
  <si>
    <t>Recommendation Repeated</t>
  </si>
  <si>
    <t>University teaching: trying to move the focus out of final grade, emphasising more the learning aspect and give less importance to the final exam, maybe increasing the relevance of practical assignments.</t>
  </si>
  <si>
    <t>emphasising more the learning aspect and give less importance to the final exam, maybe increasing the relevance of practical assignments.</t>
  </si>
  <si>
    <t>Some of the metrics are suitable for beginners in a controlled course project context, but not for experienced engineers in an industry-scale project. The metrics, though far from perfect yet, are useful tools for process monitoring and assessment.</t>
  </si>
  <si>
    <t>The metrics are useful tools for process monitoring and assessment for beginners in a controlled course project context.</t>
  </si>
  <si>
    <t>Our design choices: external test case deployment using container technology, validation through user interface input/output, service configuration through chained property files, and finally fine-grained inspection through a special logging mechanism. Are viable and may serve as guidelines for further experimentation and research in the area of automated assessment.</t>
  </si>
  <si>
    <t>Our viable design choices for automated assessment: external test case deployment using container technology, validation through user interface input/output, service configuration through chained property files, and finally fine-grained inspection through a special logging mechanism.</t>
  </si>
  <si>
    <t>We are working on automated prechecking of students’ submissions, that is, ensuring that submitted code in the Docker images can compile and will pass some simple validation checks.</t>
  </si>
  <si>
    <t>We are working on automated prechecking of students’ submissions</t>
  </si>
  <si>
    <t>to continuously assess the evolved system, we need also to think to teach validation and verification techniques pushing more them at runtime.</t>
  </si>
  <si>
    <t>we need also to think to teach validation and verification techniques pushing more them at runtime to continuously assess the evolved system.</t>
  </si>
  <si>
    <t>We decided to develop of a questionnaire that, in our opinion, would uncover some insights about the team.</t>
  </si>
  <si>
    <t>We decided to develop of a questionnaire that would uncover some insights about the team.</t>
  </si>
  <si>
    <t>In order to collect as much information as possible on the participants and the environment, we typically send a survey to be completed a few days in advance, and we analyse question by question to give specific advice depending on the answers.</t>
  </si>
  <si>
    <t>we typically send a survey to be completed a few days in advance, and we analyse question by question to give specific advice depending on the answers.</t>
  </si>
  <si>
    <t>It is important to get in advance as much information as possible about the audience the training meant to.</t>
  </si>
  <si>
    <t>It is important to get in advance as much information as possible about the audience.</t>
  </si>
  <si>
    <t>Talking directly to the relevant people, possibly technical and on-site.</t>
  </si>
  <si>
    <t>The research revealed some interesting problems that we could not know without close and in-depth progress tracking and data analysis.</t>
  </si>
  <si>
    <t>in-depth progress tracking and data analysis is useful to reveal interesting problems.</t>
  </si>
  <si>
    <t>the design of the course presented in the paper could be taken as reference by other instructors when facing with the challenging task of teaching DevOps.</t>
  </si>
  <si>
    <t>the design of the course presented in the paper could be taken as reference</t>
  </si>
  <si>
    <t>The use of the SWEBOK and Bloom’s taxonomy not only bring clarity over the specification of a course, but also, they can be used later to assess the execution of the course.</t>
  </si>
  <si>
    <t>The use of the SWEBOK and Bloom’s taxonomy</t>
  </si>
  <si>
    <t xml:space="preserve">the teaching staff reviewed the material of the initial theoretical lectures aimed at clarifying how concerns like product under development, software engineering environment, tools, and quality attributes were related to each other, and particularly, their role on the student’s projects. </t>
  </si>
  <si>
    <t>University teaching: our vision is to build a Software Engineering curricula on the backbone derived from the DevOps philosophy.</t>
  </si>
  <si>
    <t>build a Software Engineering curricula on the backbone derived from the DevOps philosophy.</t>
  </si>
  <si>
    <t xml:space="preserve">In an SE course, DevOps could be addressed through two forms: the first form is treating DevOps as a different kind of development. This form could happen early in the course, where almost no additional background is required. The second form emphasizes the Ops part, which is not typically addressed by SE teachers. </t>
  </si>
  <si>
    <t>It is therefore necessary establishing clear connections of every course with DevOps;</t>
  </si>
  <si>
    <t xml:space="preserve">DevOps should be proper course in the curriculum. </t>
  </si>
  <si>
    <t>One way to achieve motivation is by making the course optional so that students who register in the course are truly motivated.</t>
  </si>
  <si>
    <t>One way to achieve motivation is by making the course optional</t>
  </si>
  <si>
    <t>using this course as a prerequisite for some specialization course, we aim to deliver to students specialized skills (e.g., micro-service development, user experience) while keeping in mind the close relationship that exists between development and operations, leveraging our experience in teaching agility and user experience.</t>
  </si>
  <si>
    <t>Use DevOps course as a prerequisite for some specialization course to deliver to students specialized skills.</t>
  </si>
  <si>
    <t>we outlining a course focusing on hybrid skills.</t>
  </si>
  <si>
    <t>Asymmetry: Classic education and developers training put more important on Development than Operations and presenting the two sides as interrelated strengthen the knowledge and increase efficacy</t>
  </si>
  <si>
    <t>Development than Operations presented the two sides as interrelated strengthen the knowledge and increase efficacy.</t>
  </si>
  <si>
    <t>to split the DevOps course into at least two courses... to provide a more in-depth understanding of the tools and practices associated with this course, with the first course to cover IaC and basic automation and the second course to cover CI and CD.</t>
  </si>
  <si>
    <t>DevOps course should be two courses: first course IaC and basic automation and the second one to cover CI and CD.</t>
  </si>
  <si>
    <t>Another reason to encourage continuous delivery education is to improve testing concepts. A course module in continuous delivery could help the students grasp the concepts of software testing.</t>
  </si>
  <si>
    <t>continuous delivery improve learning software testing.</t>
  </si>
  <si>
    <t>Coupling architecture to DevOps is important as both approaches complement each others, and the course must smoothly merge these two dimension to support a fully-fledged curriculum.</t>
  </si>
  <si>
    <t>Curriculum should couple Architecture to DevOps because both approaches complement each other.</t>
  </si>
  <si>
    <t>we need to introduce courses on learning and adaptation theories, algorithms and tools, since they are becoming the key enablers for conceiving and operating quality software systems that can automatically evolve to cope with errors, changes in the environment, and new functionalities.</t>
  </si>
  <si>
    <t>we need to introduce courses on learning and adaptation theories, algorithms and tools before DevOps course.</t>
  </si>
  <si>
    <t xml:space="preserve">the best option would be to allow more time for the summer school and organize it over three weeks </t>
  </si>
  <si>
    <t>DevOps course needs time to teach (three weeks in 125 hours for summer course)</t>
  </si>
  <si>
    <t>In addition to the setup that must be performed by the students, instructors should make note of the amount of time that it will take for them to setup for the lab.</t>
  </si>
  <si>
    <t>instructors should make note of the amount of time that it will take for them to setup for the lab.</t>
  </si>
  <si>
    <t>It is therefore necessary describing how fundamental knowledge works within the frame of this philosophy;</t>
  </si>
  <si>
    <t>the course must focus on the concepts, and use tools only as an illustration.</t>
  </si>
  <si>
    <t>It is therefore necessary to explain students the DevOps values from scratch;</t>
  </si>
  <si>
    <t>University teaching: It may be also useful to intensify the theoretical delivery to keep the attention higher and have more time for hand-on sessions.</t>
  </si>
  <si>
    <t xml:space="preserve">It may be useful to intensify the theoretical delivery </t>
  </si>
  <si>
    <t>the course must provide theoretical concepts for architecture design, software development and operational deployment around a shared project that will be used as a backbone during lab assignments.</t>
  </si>
  <si>
    <t>the course should teach theoretical concepts using shared project before lab assignments.</t>
  </si>
  <si>
    <t>to introduce all principles and pillars of DevOps earlier, together with basic realizations for each part, i.e. a basic pipeline with deployment and a simple dockerization, so that they can be applied to the project.</t>
  </si>
  <si>
    <t>to introduce all principles and pillars of DevOps earlier, together with basic realizations for each part so that they can be applied to the project.</t>
  </si>
  <si>
    <t xml:space="preserve">Both authors have multidisciplinary and pedagogical background and working experience in higher education which we felt supported our collaboration and helped in designing relatively coherent course. </t>
  </si>
  <si>
    <t>Both authors have multidisciplinary and pedagogical background and working experience in higher education</t>
  </si>
  <si>
    <t>The pipeline used was designed to help instructors introduce continuous integration and delivery into preexisting courses and allow students to visually understand the processes of continuous delivery and continuous integration.</t>
  </si>
  <si>
    <t>some of the customer used the delivered prototypes to create screenshots of the user interface. They marked errors like e.g. misplaced user interface elements and sent these screenshots as well as additional improvements suggestions back to the developers which could then react to this feedback. We think that without our automated deployment pipeline this would not have been possible in such an easy way.</t>
  </si>
  <si>
    <t>without our automated deployment pipeline the customer feedback would not have been possible in such an easy way.</t>
  </si>
  <si>
    <t>To cover the ”Ops” part we need to teach how to engineer innovative software systems that can react to changes and new needs properly, without compromising the effectiveness of the system and without imposing cumbersome a priori analyses.</t>
  </si>
  <si>
    <t>An application which is suitable for learners to serve as a means for setting up a deployment pipeline is presented.</t>
  </si>
  <si>
    <t>running the servers as a service is more straightforward on consecutive days</t>
  </si>
  <si>
    <t>It is advised that when setting up for independent labs, that the instructor leads the class through the setup process.</t>
  </si>
  <si>
    <t>when setting up for independent labs, the instructor leads the class through the setup process.</t>
  </si>
  <si>
    <t>If the instructor is setting up each student’s repository themselves, this can be a significant time investment without automated scripts to help in the process.</t>
  </si>
  <si>
    <t>automated scripts save significant time to setting up each student's repository.</t>
  </si>
  <si>
    <t>Cloud DevOps platforms allow teams to take advantage of DevOps processes without having to invest their own effort in the integration of the necessary tools</t>
  </si>
  <si>
    <t>It is important to rely on a project-based approach where students will be confronted to real-life choices, at architectural, development and operation levels.</t>
  </si>
  <si>
    <t>project-based teaching has proved to be successful as knowledge transfer mechanism.</t>
  </si>
  <si>
    <t>project-based teaching, blended with traditional lectures and tutoring sessions has already proved to be successful as knowledge transfer mechanism.</t>
  </si>
  <si>
    <t>Assigning the same project to every group let the teaching staff avoid the challenge task of producing different projects but with equal complexity. This choice also helps to ensure consistency when evaluating groups’ work. Yet another advantage of working on a common project is related to the organisation and execution of the course as it is not any more dependent on the number of registered students (what was the case in former editions of the course). Based on earlier experience, a teaching staff composed of two people can handle a class of up to 12 students without quality lost.</t>
  </si>
  <si>
    <t>Assigning the same project to every group</t>
  </si>
  <si>
    <t>the teaching staff concluded that a more detailed initial project description would be provided to each student, and in particular a clear description of the technical-related objectives to be met.</t>
  </si>
  <si>
    <t>a more detailed initial project description would be provided to each student</t>
  </si>
  <si>
    <t>even if the course is project-driven, students need personal assistance.</t>
  </si>
  <si>
    <t>we design projects representing different customer types, architecture styles and techniques.</t>
  </si>
  <si>
    <t>we collaborate with various partners representing customers from industry as well as on-campus organizations.</t>
  </si>
  <si>
    <t>we collaborate with various partners representing customers from industry as well as on-campus organizations on project design.</t>
  </si>
  <si>
    <t>One of the key success factors is the cross-project release management team. On the one hand a release manager is responsible for applying continuous delivery within each team, on the other hand the release coordinator is in charge of introducing and tracking all activities of all development teams. This helps to spread the knowledge and ensures that all teams use version control, continuous integration and continuous delivery in a proper way.</t>
  </si>
  <si>
    <t>the key success factors is the cross-project release management team</t>
  </si>
  <si>
    <t>A reasonable solution is to introduce diversities into the design of course projects. On one hand, it provides diversified choices so that a student has the flexibility to choose one that best fits his/her background and interests. The variety of software projects is also helpful to enrich the students’experiences and stimulate cross-project knowledge sharing.</t>
  </si>
  <si>
    <t>to introduce diversities into the design of course projects.</t>
  </si>
  <si>
    <t>Another good practice that was mentioned several times turns around “small steps”.</t>
  </si>
  <si>
    <t>a good practice was turns around “small steps”.</t>
  </si>
  <si>
    <t>Be clear on the outcome of the training.</t>
  </si>
  <si>
    <t>in particular a clear description of the technical-related objectives to be met.</t>
  </si>
  <si>
    <t>We saw enthusiasm and team player mindset grow in the students. Because of the easygoing and trusting atmosphere amongst the students and the teachers, they felt comfortable to participate.</t>
  </si>
  <si>
    <t>Create the easygoing and trusting atmosphere amongst the students and the teachers.</t>
  </si>
  <si>
    <t>DevOps is the ideal candidate for non-traditional ways of teaching, such as peer instructions, flipped classroom, problem-based learning, among others.</t>
  </si>
  <si>
    <t>We have drawn upon constructive alignment, cognitive apprenticeship, and story-telling in designing the learning context, with heavy emphasis on a concrete project as main learning vehicle</t>
  </si>
  <si>
    <t>Problem-based learning (PBL) method is the right pedagogical approach to tackle subjects like DevOps</t>
  </si>
  <si>
    <t>DevOps needs to be taught with practical labs.</t>
  </si>
  <si>
    <t>we outlining a course focusing on hands-on experience.</t>
  </si>
  <si>
    <t>Pragmatism: Both students and developers appreciate hands-on sessions</t>
  </si>
  <si>
    <t>To simulate real-life software engineering, the labs must be defined thanks to an open and informal specification expressed in business terms, and it will be up to the students to design the right architecture, implement it in an iterative way and support its deployment thanks to a continuous delivery pipeline.</t>
  </si>
  <si>
    <t xml:space="preserve">Content-wise the students wished that the practical and theoretical days would be mixed. </t>
  </si>
  <si>
    <t xml:space="preserve">the practical and theoretical days would be mixed. </t>
  </si>
  <si>
    <t>This (students think they know agile) could be alleviated by making the revision part more interactive and student-centered which could help the students in identifying their knowledge gaps</t>
  </si>
  <si>
    <t>making the revision part more interactive and student-centered</t>
  </si>
  <si>
    <t>We devised a customized Agile process to encourage both online and offline communication and collaboration among team members, customer representatives, and teaching assistants who take the role of product manager.</t>
  </si>
  <si>
    <t xml:space="preserve">We devised a customized Agile process to encourage both online and offline communication and collaboration </t>
  </si>
  <si>
    <t>requesting students to work in groups. This decision expects to enhance interaction and recreate social environments where soft skills can be developed.</t>
  </si>
  <si>
    <t>request students to work in groups.</t>
  </si>
  <si>
    <t>the course had to be designed to favour interactivity and student engagement.</t>
  </si>
  <si>
    <t>we have argued in favor of teaching methods that emphasize programing process and realistic context as well as using performant virtualization environments.</t>
  </si>
  <si>
    <t>teaching methods that emphasize programing process and realistic context as well as using performant virtualization environments.</t>
  </si>
  <si>
    <t>Using a cross functional team to introduce the workflows minimizes the additional work for the teaching assistants.</t>
  </si>
  <si>
    <t>To try, as much as possible, to bring industry partners into the course.</t>
  </si>
  <si>
    <t>try to bring industry partners into the course.</t>
  </si>
  <si>
    <t>the design and execution of a DevOps and Continuous Delivery course organized in industry-university collaboration.</t>
  </si>
  <si>
    <t>the most effective training for DevOps and Agile were those in which the audience consisted of both management and developers.</t>
  </si>
  <si>
    <t>The primary objective is to educate DevOps ambassadors.</t>
  </si>
  <si>
    <t>training is of paramount importance to establish a common background for all the different groups, including the management.</t>
  </si>
  <si>
    <t>Corporate training: it is important not to focus all the training activity as a frontal session university-like. We believe that this makes things less effective and we advocate for a change of paradigm.</t>
  </si>
  <si>
    <t xml:space="preserve">it is important not to focus all the training activity as a frontal session university-like. </t>
  </si>
  <si>
    <t>The teachers can monitor students’ progress through Jenkins so that the burden of daily checking can be significantly decreased. Then the opportunity to guide students will be increased for the teachers.</t>
  </si>
  <si>
    <t>The teachers can monitor students’progress through Jenkins</t>
  </si>
  <si>
    <t>The second is to provide detailed instructions within the activity for both the command line interface and the graphical interface.</t>
  </si>
  <si>
    <t>provide detailed instructions within the activity for both the command line interface and the graphical interface.</t>
  </si>
  <si>
    <t>Structured approaches like the feedback mechanism in our delivery server were not used frequently. We think that these structured mechanism do not have the same quality as personal interaction because they are asynchronous and in written form.</t>
  </si>
  <si>
    <t>feedback mechanism in our delivery server do not have the same quality as personal interaction because they are asynchronous and in written form.</t>
  </si>
  <si>
    <t>We push students to stop being consumers of tools, and instead become DevOps architects able to identify what is necessary and how tools from the state of practice can be assembled to support a given project. The discussions and interviews made with partners’ contacts and interns’ tutors are strongly positive on that point. Recruiters clearly state that such a knowledge makes a strong difference between candidates at recruitment time (interns or permanent positions).</t>
  </si>
  <si>
    <t>We push students to stop being consumers of tools, and instead become DevOps architects able to identify what is necessary and how tools from the state of practice can be assembled to support a given project.</t>
  </si>
  <si>
    <t>They will need to familiarize themselves with the technologies before the start of the activity.</t>
  </si>
  <si>
    <t>The design of the system is meant to be simple to lower the learning curve for instructors while also allowing for multiple students to work with the system concurrently.</t>
  </si>
  <si>
    <t>The design of the system is meant to be simple</t>
  </si>
  <si>
    <t>Automatic tools are thus demanded to facilitate project data collection and analysis.</t>
  </si>
  <si>
    <t>We designed various automatically generated reports to provide timely feedback to students, customers, and TAs.</t>
  </si>
  <si>
    <t>ALECCS can automatically check the submitted codes so that students (as individual or team member) can check the results and correct their projects quickly.</t>
  </si>
  <si>
    <t>ALECSS is also useful to reduce manual checking load of the teacher. ALECSS automatically detects much more warnings than manual checking.</t>
  </si>
  <si>
    <t>The analysis that led to choosing Docker as virtualization engine turned out to be correct. Docker hub is a built-in repository that facilitates easy and efficient access to the VMs produced. The design choices made in Docker suits a teaching context perfectly: the “copy-on-write” file system means only the delta between the image on Docker hub and the image on the TAs local machine has to be downloaded. Thus getting the code snapshot for a group is downloads in the range of kilo or megabytes, and not gigabytes. With around 60 groups, this is a major time saver.</t>
  </si>
  <si>
    <t>The analysis that led to choosing Docker as virtualization engine turned out to be correct.</t>
  </si>
  <si>
    <t xml:space="preserve">Amazon Web Services (AWS) would remedy high computer power need by porting the test and production environment the Amazon Cloud. </t>
  </si>
  <si>
    <t>The first is for students to gain familiarity with the command line interface for version control before beginning the activity.</t>
  </si>
  <si>
    <t>students to gain familiarity with the command line interface for version control before beginning the activity.</t>
  </si>
  <si>
    <t>For this reason, special attention should be paid to the static analysis stage during the activity to ensure that students do not overlook this information.</t>
  </si>
  <si>
    <t>special attention should be paid to the static analysis stage during the activity.</t>
  </si>
  <si>
    <t>ID</t>
  </si>
  <si>
    <t>Year</t>
  </si>
  <si>
    <t>Author</t>
  </si>
  <si>
    <t>A Pilot Study on Introducing Continuous Integration and Delivery into Undergraduate Software Engineering Courses</t>
  </si>
  <si>
    <t>Eddy, Brian P.; Wilde, Norman; Cooper, Nathan A.; Mishra, Bhavyansh; Gamboa, Valeria S.; Shah, Keenal M.; Deleon, Adrian M.; Shields, Nikolai A.</t>
  </si>
  <si>
    <t>Continuous delivery of personalized assessment and feedback in agile software engineering projects</t>
  </si>
  <si>
    <t>Bai, Xiaoying; Li, Mingjie; Pei, Dan; Li, Shanshan; Ye, Deming</t>
  </si>
  <si>
    <t>Crunch: Automated Assessment of Microservice Architecture Assignments with Formative Feedback</t>
  </si>
  <si>
    <t>Christensen, Henrik Bærbak</t>
  </si>
  <si>
    <t>Design of a (Yet Another?) DevOps Course</t>
  </si>
  <si>
    <t>Capozucca, Alfredo; Guelfi, Nicolas; Ries, Benoît</t>
  </si>
  <si>
    <t>DevOps-Preparing Students for Professional Practice</t>
  </si>
  <si>
    <t>Jennings, Rachel A Kaczka</t>
  </si>
  <si>
    <t>DevOps’18 Education Panel</t>
  </si>
  <si>
    <t>Bruel, Jean-Michel; Jiménez, Miguel</t>
  </si>
  <si>
    <t>DevOpsEnvy: An Education Support System for DevOps</t>
  </si>
  <si>
    <t>Rong, Guoping; Gu, Shenghui; Zhang, He; Shao, Dong</t>
  </si>
  <si>
    <t>Enable cloud DevOps approach for industry and higher education</t>
  </si>
  <si>
    <t>Airaj, Mohammed</t>
  </si>
  <si>
    <t>Industry-academy collaboration in teaching DevOps and continuous delivery to software engineering students: towards improved industrial relevance in higher education</t>
  </si>
  <si>
    <t>Kuusinen, Kati; Albertsen, Sofus</t>
  </si>
  <si>
    <t>Introducing a Deployment Pipeline for Continuous Delivery in a Software Architecture Course</t>
  </si>
  <si>
    <t>Greising, Lucas; Bartel, Alexander; Hagel, Georg</t>
  </si>
  <si>
    <t>Introduction of continuous delivery in multi-customer project courses</t>
  </si>
  <si>
    <t>Krusche, S.; Alperowitz, L.</t>
  </si>
  <si>
    <t>Software engineer education support system ALECSS utilizing DevOps tools</t>
  </si>
  <si>
    <t>Ohtsuki, Mika; Ohta, Kazuki; Kakeshita, Tetsuro</t>
  </si>
  <si>
    <t>Teaching DevOps and Cloud Computing using a Cognitive Apprenticeship and Story-Telling Approach</t>
  </si>
  <si>
    <t>Teaching DevOps at the Graduate Level</t>
  </si>
  <si>
    <t>Benni, Benjamin; Collet, Philippe; Molines, Guilhem; Mosser, Sébastien; Pinna-Déry, Anne-Marie</t>
  </si>
  <si>
    <t>Teaching DevOps in Academia and Industry: Reflections and Vision</t>
  </si>
  <si>
    <t>Bobrov, Evgeny; Bucchiarone, Antonio; Capozucca, Alfredo; Guelfi, Nicolas; Mazzara, Manuel; Masyagin, Sergey</t>
  </si>
  <si>
    <t>Teaching DevOps in Corporate Environments</t>
  </si>
  <si>
    <t>Mazzara, Manuel; Naumchev, Alexandr; Safina, Larisa; Sillitti, Alberto; Urysov, Konstantin</t>
  </si>
  <si>
    <t>The DevOps Lab Platform for Managing Diversified Projects in Educating Agile Software Engineering</t>
  </si>
  <si>
    <t>Bai, Xiaoying; Pei, Dan; Li, Mingjie; Li, Shanshan</t>
  </si>
  <si>
    <t>Utilizing software engineering education support system ALECSS at an actual software development experiment: A case study</t>
  </si>
  <si>
    <t>Ohtsuki, M.; Kakeshita, T.</t>
  </si>
  <si>
    <t>Amount of challenges</t>
  </si>
  <si>
    <t>Amount of challenges in RSL and Interviews</t>
  </si>
  <si>
    <t>Ratio of challenges</t>
  </si>
  <si>
    <t>Amount of recommendations</t>
  </si>
  <si>
    <t>Amount of recommendations in RSL and Interviews</t>
  </si>
  <si>
    <t>Ratio of recommendations</t>
  </si>
</sst>
</file>

<file path=xl/styles.xml><?xml version="1.0" encoding="utf-8"?>
<styleSheet xmlns="http://schemas.openxmlformats.org/spreadsheetml/2006/main" xmlns:x14ac="http://schemas.microsoft.com/office/spreadsheetml/2009/9/ac" xmlns:mc="http://schemas.openxmlformats.org/markup-compatibility/2006">
  <fonts count="12">
    <font>
      <sz val="10.0"/>
      <color rgb="FF000000"/>
      <name val="Arial"/>
    </font>
    <font>
      <b/>
      <sz val="14.0"/>
      <color theme="1"/>
      <name val="Arial"/>
    </font>
    <font>
      <b/>
      <sz val="12.0"/>
    </font>
    <font>
      <color theme="1"/>
      <name val="Arial"/>
    </font>
    <font>
      <color rgb="FF000000"/>
      <name val="&quot;Arial&quot;"/>
    </font>
    <font>
      <b/>
      <color theme="1"/>
      <name val="Arial"/>
    </font>
    <font>
      <b/>
      <sz val="12.0"/>
      <color theme="1"/>
      <name val="Arial"/>
    </font>
    <font/>
    <font>
      <b/>
      <sz val="12.0"/>
      <color rgb="FF000000"/>
      <name val="Arial"/>
    </font>
    <font>
      <sz val="10.0"/>
      <color theme="1"/>
      <name val="Arial"/>
    </font>
    <font>
      <i/>
      <color theme="1"/>
      <name val="Arial"/>
    </font>
    <font>
      <name val="Arial"/>
    </font>
  </fonts>
  <fills count="4">
    <fill>
      <patternFill patternType="none"/>
    </fill>
    <fill>
      <patternFill patternType="lightGray"/>
    </fill>
    <fill>
      <patternFill patternType="solid">
        <fgColor rgb="FFCCCCCC"/>
        <bgColor rgb="FFCCCCCC"/>
      </patternFill>
    </fill>
    <fill>
      <patternFill patternType="solid">
        <fgColor rgb="FFFFFFFF"/>
        <bgColor rgb="FFFFFFFF"/>
      </patternFill>
    </fill>
  </fills>
  <borders count="1">
    <border/>
  </borders>
  <cellStyleXfs count="1">
    <xf borderId="0" fillId="0" fontId="0" numFmtId="0" applyAlignment="1" applyFont="1"/>
  </cellStyleXfs>
  <cellXfs count="61">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center" wrapText="1"/>
    </xf>
    <xf borderId="0" fillId="2" fontId="2" numFmtId="0" xfId="0" applyAlignment="1" applyFont="1">
      <alignment horizontal="right" readingOrder="0" shrinkToFit="0" vertical="center" wrapText="1"/>
    </xf>
    <xf borderId="0" fillId="2" fontId="2" numFmtId="0" xfId="0" applyAlignment="1" applyFont="1">
      <alignment horizontal="center" readingOrder="0" shrinkToFit="0" vertical="center" wrapText="1"/>
    </xf>
    <xf borderId="0" fillId="0" fontId="3" numFmtId="0" xfId="0" applyAlignment="1" applyFont="1">
      <alignment readingOrder="0" shrinkToFit="0" wrapText="1"/>
    </xf>
    <xf borderId="0" fillId="0" fontId="3" numFmtId="0" xfId="0" applyAlignment="1" applyFont="1">
      <alignment shrinkToFit="0" wrapText="1"/>
    </xf>
    <xf borderId="0" fillId="0" fontId="3" numFmtId="0" xfId="0" applyAlignment="1" applyFont="1">
      <alignment horizontal="right" readingOrder="0" shrinkToFit="0" wrapText="1"/>
    </xf>
    <xf borderId="0" fillId="0" fontId="3" numFmtId="0" xfId="0" applyAlignment="1" applyFont="1">
      <alignment horizontal="right" shrinkToFit="0" wrapText="1"/>
    </xf>
    <xf borderId="0" fillId="0" fontId="3" numFmtId="10" xfId="0" applyAlignment="1" applyFont="1" applyNumberFormat="1">
      <alignment horizontal="center"/>
    </xf>
    <xf borderId="0" fillId="0" fontId="3" numFmtId="0" xfId="0" applyAlignment="1" applyFont="1">
      <alignment horizontal="center" shrinkToFit="0" wrapText="1"/>
    </xf>
    <xf borderId="0" fillId="0" fontId="3" numFmtId="0" xfId="0" applyAlignment="1" applyFont="1">
      <alignment horizontal="center"/>
    </xf>
    <xf borderId="0" fillId="0" fontId="3" numFmtId="0" xfId="0" applyAlignment="1" applyFont="1">
      <alignment horizontal="center" readingOrder="0"/>
    </xf>
    <xf borderId="0" fillId="0" fontId="3" numFmtId="0" xfId="0" applyAlignment="1" applyFont="1">
      <alignment readingOrder="0" shrinkToFit="0" wrapText="0"/>
    </xf>
    <xf borderId="0" fillId="0" fontId="3" numFmtId="0" xfId="0" applyAlignment="1" applyFont="1">
      <alignment readingOrder="0" shrinkToFit="0" vertical="bottom" wrapText="1"/>
    </xf>
    <xf borderId="0" fillId="0" fontId="4" numFmtId="0" xfId="0" applyAlignment="1" applyFont="1">
      <alignment readingOrder="0" shrinkToFit="0" wrapText="1"/>
    </xf>
    <xf borderId="0" fillId="0" fontId="5" numFmtId="0" xfId="0" applyAlignment="1" applyFont="1">
      <alignment horizontal="right" readingOrder="0" shrinkToFit="0" wrapText="1"/>
    </xf>
    <xf borderId="0" fillId="2" fontId="6" numFmtId="0" xfId="0" applyAlignment="1" applyFont="1">
      <alignment horizontal="center" readingOrder="0" shrinkToFit="0" wrapText="1"/>
    </xf>
    <xf borderId="0" fillId="2" fontId="7" numFmtId="0" xfId="0" applyAlignment="1" applyFont="1">
      <alignment horizontal="right" readingOrder="0" shrinkToFit="0" wrapText="1"/>
    </xf>
    <xf borderId="0" fillId="2" fontId="6" numFmtId="0" xfId="0" applyAlignment="1" applyFont="1">
      <alignment horizontal="center" readingOrder="0" shrinkToFit="0" vertical="center" wrapText="1"/>
    </xf>
    <xf borderId="0" fillId="2" fontId="2" numFmtId="0" xfId="0" applyAlignment="1" applyFont="1">
      <alignment readingOrder="0" shrinkToFit="0" wrapText="1"/>
    </xf>
    <xf borderId="0" fillId="2" fontId="2" numFmtId="0" xfId="0" applyAlignment="1" applyFont="1">
      <alignment horizontal="left" readingOrder="0" shrinkToFit="0" wrapText="1"/>
    </xf>
    <xf borderId="0" fillId="0" fontId="3" numFmtId="0" xfId="0" applyFont="1"/>
    <xf borderId="0" fillId="0" fontId="3" numFmtId="0" xfId="0" applyAlignment="1" applyFont="1">
      <alignment horizontal="center" readingOrder="0" shrinkToFit="0" vertical="center" wrapText="1"/>
    </xf>
    <xf borderId="0" fillId="0" fontId="2" numFmtId="0" xfId="0" applyAlignment="1" applyFont="1">
      <alignment horizontal="left" readingOrder="0" shrinkToFit="0" wrapText="1"/>
    </xf>
    <xf borderId="0" fillId="0" fontId="6" numFmtId="0" xfId="0" applyAlignment="1" applyFont="1">
      <alignment horizontal="center" readingOrder="0" shrinkToFit="0" wrapText="1"/>
    </xf>
    <xf borderId="0" fillId="0" fontId="6" numFmtId="0" xfId="0" applyAlignment="1" applyFont="1">
      <alignment readingOrder="0"/>
    </xf>
    <xf borderId="0" fillId="0" fontId="6" numFmtId="0" xfId="0" applyAlignment="1" applyFont="1">
      <alignment readingOrder="0" shrinkToFit="0" wrapText="0"/>
    </xf>
    <xf borderId="0" fillId="0" fontId="6" numFmtId="0" xfId="0" applyAlignment="1" applyFont="1">
      <alignment horizontal="left" readingOrder="0" shrinkToFit="0" wrapText="1"/>
    </xf>
    <xf borderId="0" fillId="0" fontId="3" numFmtId="0" xfId="0" applyAlignment="1" applyFont="1">
      <alignment readingOrder="0"/>
    </xf>
    <xf borderId="0" fillId="0" fontId="3" numFmtId="0" xfId="0" applyAlignment="1" applyFont="1">
      <alignment horizontal="left" readingOrder="0" shrinkToFit="0" wrapText="1"/>
    </xf>
    <xf borderId="0" fillId="0" fontId="3" numFmtId="0" xfId="0" applyAlignment="1" applyFont="1">
      <alignment horizontal="center" vertical="bottom"/>
    </xf>
    <xf borderId="0" fillId="0" fontId="3" numFmtId="0" xfId="0" applyAlignment="1" applyFont="1">
      <alignment horizontal="right" vertical="bottom"/>
    </xf>
    <xf borderId="0" fillId="0" fontId="3" numFmtId="0" xfId="0" applyAlignment="1" applyFont="1">
      <alignment horizontal="left" readingOrder="0" shrinkToFit="0" vertical="bottom" wrapText="1"/>
    </xf>
    <xf borderId="0" fillId="0" fontId="3" numFmtId="0" xfId="0" applyAlignment="1" applyFont="1">
      <alignment shrinkToFit="0" vertical="bottom" wrapText="1"/>
    </xf>
    <xf borderId="0" fillId="0" fontId="4" numFmtId="0" xfId="0" applyAlignment="1" applyFont="1">
      <alignment horizontal="left" readingOrder="0" shrinkToFit="0" wrapText="1"/>
    </xf>
    <xf borderId="0" fillId="0" fontId="3" numFmtId="0" xfId="0" applyAlignment="1" applyFont="1">
      <alignment shrinkToFit="0" vertical="bottom" wrapText="1"/>
    </xf>
    <xf borderId="0" fillId="0" fontId="3" numFmtId="0" xfId="0" applyAlignment="1" applyFont="1">
      <alignment horizontal="center" vertical="bottom"/>
    </xf>
    <xf borderId="0" fillId="0" fontId="3" numFmtId="0" xfId="0" applyAlignment="1" applyFont="1">
      <alignment horizontal="right" vertical="bottom"/>
    </xf>
    <xf borderId="0" fillId="0" fontId="3" numFmtId="0" xfId="0" applyAlignment="1" applyFont="1">
      <alignment horizontal="center" readingOrder="0" vertical="bottom"/>
    </xf>
    <xf borderId="0" fillId="0" fontId="2" numFmtId="0" xfId="0" applyAlignment="1" applyFont="1">
      <alignment horizontal="center" readingOrder="0" shrinkToFit="0" wrapText="1"/>
    </xf>
    <xf borderId="0" fillId="3" fontId="8" numFmtId="0" xfId="0" applyAlignment="1" applyFill="1" applyFont="1">
      <alignment horizontal="center" readingOrder="0" shrinkToFit="0" vertical="bottom" wrapText="1"/>
    </xf>
    <xf borderId="0" fillId="0" fontId="9" numFmtId="0" xfId="0" applyAlignment="1" applyFont="1">
      <alignment horizontal="left" readingOrder="0" shrinkToFit="0" wrapText="1"/>
    </xf>
    <xf borderId="0" fillId="0" fontId="4" numFmtId="0" xfId="0" applyAlignment="1" applyFont="1">
      <alignment readingOrder="0"/>
    </xf>
    <xf borderId="0" fillId="0" fontId="3" numFmtId="0" xfId="0" applyAlignment="1" applyFont="1">
      <alignment horizontal="left" shrinkToFit="0" vertical="bottom" wrapText="1"/>
    </xf>
    <xf borderId="0" fillId="0" fontId="6" numFmtId="1" xfId="0" applyAlignment="1" applyFont="1" applyNumberFormat="1">
      <alignment readingOrder="0" shrinkToFit="0" wrapText="1"/>
    </xf>
    <xf borderId="0" fillId="0" fontId="3" numFmtId="0" xfId="0" applyAlignment="1" applyFont="1">
      <alignment readingOrder="0" shrinkToFit="0" vertical="bottom" wrapText="0"/>
    </xf>
    <xf borderId="0" fillId="0" fontId="3" numFmtId="0" xfId="0" applyAlignment="1" applyFont="1">
      <alignment shrinkToFit="0" vertical="bottom" wrapText="0"/>
    </xf>
    <xf borderId="0" fillId="0" fontId="3" numFmtId="1" xfId="0" applyAlignment="1" applyFont="1" applyNumberFormat="1">
      <alignment horizontal="right" vertical="bottom"/>
    </xf>
    <xf borderId="0" fillId="0" fontId="3" numFmtId="0" xfId="0" applyAlignment="1" applyFont="1">
      <alignment shrinkToFit="0" vertical="bottom" wrapText="0"/>
    </xf>
    <xf borderId="0" fillId="0" fontId="3" numFmtId="0" xfId="0" applyAlignment="1" applyFont="1">
      <alignment readingOrder="0" shrinkToFit="0" vertical="bottom" wrapText="0"/>
    </xf>
    <xf borderId="0" fillId="0" fontId="3" numFmtId="0" xfId="0" applyAlignment="1" applyFont="1">
      <alignment shrinkToFit="0" wrapText="0"/>
    </xf>
    <xf borderId="0" fillId="3" fontId="0" numFmtId="0" xfId="0" applyAlignment="1" applyFont="1">
      <alignment readingOrder="0" shrinkToFit="0" wrapText="0"/>
    </xf>
    <xf borderId="0" fillId="0" fontId="3" numFmtId="0" xfId="0" applyAlignment="1" applyFont="1">
      <alignment vertical="bottom"/>
    </xf>
    <xf borderId="0" fillId="0" fontId="10" numFmtId="0" xfId="0" applyAlignment="1" applyFont="1">
      <alignment vertical="bottom"/>
    </xf>
    <xf borderId="0" fillId="0" fontId="3" numFmtId="1" xfId="0" applyAlignment="1" applyFont="1" applyNumberFormat="1">
      <alignment horizontal="right" readingOrder="0" vertical="bottom"/>
    </xf>
    <xf borderId="0" fillId="0" fontId="10" numFmtId="0" xfId="0" applyAlignment="1" applyFont="1">
      <alignment shrinkToFit="0" wrapText="0"/>
    </xf>
    <xf borderId="0" fillId="0" fontId="3" numFmtId="0" xfId="0" applyAlignment="1" applyFont="1">
      <alignment shrinkToFit="0" wrapText="0"/>
    </xf>
    <xf borderId="0" fillId="0" fontId="11" numFmtId="0" xfId="0" applyAlignment="1" applyFont="1">
      <alignment readingOrder="0" shrinkToFit="0" vertical="bottom" wrapText="0"/>
    </xf>
    <xf borderId="0" fillId="0" fontId="7" numFmtId="0" xfId="0" applyAlignment="1" applyFont="1">
      <alignment readingOrder="0" shrinkToFit="0" wrapText="0"/>
    </xf>
    <xf borderId="0" fillId="0" fontId="6" numFmtId="0" xfId="0" applyAlignment="1" applyFont="1">
      <alignment horizontal="center" readingOrder="0" shrinkToFit="0" vertical="center" wrapText="1"/>
    </xf>
    <xf borderId="0" fillId="0" fontId="6" numFmtId="10" xfId="0" applyAlignment="1" applyFont="1" applyNumberFormat="1">
      <alignment horizontal="center"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10.86"/>
    <col customWidth="1" min="2" max="2" width="9.57"/>
    <col customWidth="1" min="3" max="3" width="17.29"/>
    <col customWidth="1" min="4" max="4" width="58.0"/>
    <col customWidth="1" min="5" max="5" width="7.14"/>
    <col customWidth="1" min="6" max="6" width="14.71"/>
    <col customWidth="1" min="7" max="7" width="61.57"/>
    <col customWidth="1" min="8" max="8" width="7.29"/>
    <col customWidth="1" min="9" max="9" width="11.29"/>
  </cols>
  <sheetData>
    <row r="1">
      <c r="A1" s="1" t="s">
        <v>0</v>
      </c>
      <c r="E1" s="2"/>
      <c r="F1" s="1" t="s">
        <v>1</v>
      </c>
      <c r="H1" s="3"/>
      <c r="I1" s="3"/>
    </row>
    <row r="2">
      <c r="A2" s="3" t="s">
        <v>2</v>
      </c>
      <c r="B2" s="3" t="s">
        <v>3</v>
      </c>
      <c r="C2" s="3" t="s">
        <v>4</v>
      </c>
      <c r="D2" s="3" t="s">
        <v>5</v>
      </c>
      <c r="E2" s="2"/>
      <c r="F2" s="2" t="s">
        <v>6</v>
      </c>
      <c r="G2" s="3" t="s">
        <v>7</v>
      </c>
      <c r="H2" s="3"/>
      <c r="I2" s="3" t="s">
        <v>8</v>
      </c>
    </row>
    <row r="3">
      <c r="A3" s="4">
        <f>IFERROR(__xludf.DUMMYFUNCTION("filter(challengesCitationsNumber,not(ISBLANK(challengesCitationsNumber)))"),1.0)</f>
        <v>1</v>
      </c>
      <c r="B3" s="5" t="str">
        <f>IFERROR(__xludf.DUMMYFUNCTION("TEXTJOIN("", "", true, filter('Paper Challenges Quotes'!D:D,'Paper Challenges Quotes'!F:F=D3))"),"9")</f>
        <v>9</v>
      </c>
      <c r="C3" s="4" t="str">
        <f>IFERROR(__xludf.DUMMYFUNCTION("filter('Paper Challenges Quotes'!E2:F75,not(ISBLANK('Paper Challenges Quotes'!C2:C75)))"),"assessment")</f>
        <v>assessment</v>
      </c>
      <c r="D3" s="5" t="str">
        <f>IFERROR(__xludf.DUMMYFUNCTION("""COMPUTED_VALUE"""),"Teaching DevOps mindset is difficult to assess.")</f>
        <v>Teaching DevOps mindset is difficult to assess.</v>
      </c>
      <c r="E3" s="6"/>
      <c r="F3" s="7">
        <v>25.0</v>
      </c>
      <c r="G3" s="5" t="s">
        <v>9</v>
      </c>
      <c r="H3" s="8"/>
      <c r="I3" s="9" t="s">
        <v>10</v>
      </c>
    </row>
    <row r="4">
      <c r="A4" s="4">
        <f>IFERROR(__xludf.DUMMYFUNCTION("""COMPUTED_VALUE"""),2.0)</f>
        <v>2</v>
      </c>
      <c r="B4" s="5" t="str">
        <f>IFERROR(__xludf.DUMMYFUNCTION("TEXTJOIN("", "", true, filter('Paper Challenges Quotes'!D:D,'Paper Challenges Quotes'!F:F=D4))"),"13")</f>
        <v>13</v>
      </c>
      <c r="C4" s="4" t="str">
        <f>IFERROR(__xludf.DUMMYFUNCTION("""COMPUTED_VALUE"""),"assessment")</f>
        <v>assessment</v>
      </c>
      <c r="D4" s="4" t="str">
        <f>IFERROR(__xludf.DUMMYFUNCTION("""COMPUTED_VALUE"""),"to evaluate students' work using realistic environment used by is difficult")</f>
        <v>to evaluate students' work using realistic environment used by is difficult</v>
      </c>
      <c r="E4" s="7"/>
      <c r="F4" s="7"/>
      <c r="G4" s="5"/>
      <c r="H4" s="10"/>
      <c r="I4" s="9"/>
    </row>
    <row r="5">
      <c r="A5" s="4">
        <f>IFERROR(__xludf.DUMMYFUNCTION("""COMPUTED_VALUE"""),3.0)</f>
        <v>3</v>
      </c>
      <c r="B5" s="5" t="str">
        <f>IFERROR(__xludf.DUMMYFUNCTION("TEXTJOIN("", "", true, filter('Paper Challenges Quotes'!D:D,'Paper Challenges Quotes'!F:F=D5))"),"7")</f>
        <v>7</v>
      </c>
      <c r="C5" s="4" t="str">
        <f>IFERROR(__xludf.DUMMYFUNCTION("""COMPUTED_VALUE"""),"assessment")</f>
        <v>assessment</v>
      </c>
      <c r="D5" s="4" t="str">
        <f>IFERROR(__xludf.DUMMYFUNCTION("""COMPUTED_VALUE"""),"DevOps increases evaluation workload for teachers")</f>
        <v>DevOps increases evaluation workload for teachers</v>
      </c>
      <c r="E5" s="6"/>
      <c r="F5" s="7">
        <v>49.0</v>
      </c>
      <c r="G5" s="5" t="s">
        <v>11</v>
      </c>
      <c r="H5" s="11"/>
      <c r="I5" s="9" t="s">
        <v>12</v>
      </c>
    </row>
    <row r="6">
      <c r="A6" s="4">
        <f>IFERROR(__xludf.DUMMYFUNCTION("""COMPUTED_VALUE"""),4.0)</f>
        <v>4</v>
      </c>
      <c r="B6" s="5" t="str">
        <f>IFERROR(__xludf.DUMMYFUNCTION("TEXTJOIN("", "", true, filter('Paper Challenges Quotes'!D:D,'Paper Challenges Quotes'!F:F=D6))"),"4")</f>
        <v>4</v>
      </c>
      <c r="C6" s="4" t="str">
        <f>IFERROR(__xludf.DUMMYFUNCTION("""COMPUTED_VALUE"""),"assessment")</f>
        <v>assessment</v>
      </c>
      <c r="D6" s="4" t="str">
        <f>IFERROR(__xludf.DUMMYFUNCTION("""COMPUTED_VALUE"""),"students quit the course because of evaluation")</f>
        <v>students quit the course because of evaluation</v>
      </c>
      <c r="E6" s="7"/>
      <c r="F6" s="7"/>
      <c r="G6" s="5"/>
      <c r="H6" s="10"/>
      <c r="I6" s="9"/>
    </row>
    <row r="7">
      <c r="A7" s="4">
        <f>IFERROR(__xludf.DUMMYFUNCTION("""COMPUTED_VALUE"""),5.0)</f>
        <v>5</v>
      </c>
      <c r="B7" s="5" t="str">
        <f>IFERROR(__xludf.DUMMYFUNCTION("TEXTJOIN("", "", true, filter('Paper Challenges Quotes'!D:D,'Paper Challenges Quotes'!F:F=D7))"),"9")</f>
        <v>9</v>
      </c>
      <c r="C7" s="4" t="str">
        <f>IFERROR(__xludf.DUMMYFUNCTION("""COMPUTED_VALUE"""),"assessment")</f>
        <v>assessment</v>
      </c>
      <c r="D7" s="4" t="str">
        <f>IFERROR(__xludf.DUMMYFUNCTION("""COMPUTED_VALUE"""),"assessement of previous students knowledge on agile was not good.")</f>
        <v>assessement of previous students knowledge on agile was not good.</v>
      </c>
      <c r="E7" s="6"/>
      <c r="F7" s="7">
        <v>1.0</v>
      </c>
      <c r="G7" s="5" t="s">
        <v>13</v>
      </c>
      <c r="H7" s="10"/>
      <c r="I7" s="9" t="s">
        <v>12</v>
      </c>
    </row>
    <row r="8">
      <c r="A8" s="4">
        <f>IFERROR(__xludf.DUMMYFUNCTION("""COMPUTED_VALUE"""),6.0)</f>
        <v>6</v>
      </c>
      <c r="B8" s="5" t="str">
        <f>IFERROR(__xludf.DUMMYFUNCTION("TEXTJOIN("", "", true, filter('Paper Challenges Quotes'!D:D,'Paper Challenges Quotes'!F:F=D8))"),"3")</f>
        <v>3</v>
      </c>
      <c r="C8" s="4" t="str">
        <f>IFERROR(__xludf.DUMMYFUNCTION("""COMPUTED_VALUE"""),"assessment")</f>
        <v>assessment</v>
      </c>
      <c r="D8" s="5" t="str">
        <f>IFERROR(__xludf.DUMMYFUNCTION("""COMPUTED_VALUE"""),"Automated assessment of programming exercises is hard.")</f>
        <v>Automated assessment of programming exercises is hard.</v>
      </c>
      <c r="E8" s="7"/>
      <c r="F8" s="7"/>
      <c r="G8" s="5"/>
      <c r="H8" s="10"/>
      <c r="I8" s="9"/>
    </row>
    <row r="9">
      <c r="A9" s="4">
        <f>IFERROR(__xludf.DUMMYFUNCTION("""COMPUTED_VALUE"""),7.0)</f>
        <v>7</v>
      </c>
      <c r="B9" s="5" t="str">
        <f>IFERROR(__xludf.DUMMYFUNCTION("TEXTJOIN("", "", true, filter('Paper Challenges Quotes'!D:D,'Paper Challenges Quotes'!F:F=D9))"),"13")</f>
        <v>13</v>
      </c>
      <c r="C9" s="4" t="str">
        <f>IFERROR(__xludf.DUMMYFUNCTION("""COMPUTED_VALUE"""),"assessment")</f>
        <v>assessment</v>
      </c>
      <c r="D9" s="5" t="str">
        <f>IFERROR(__xludf.DUMMYFUNCTION("""COMPUTED_VALUE"""),"the automated assessment elaboration take time")</f>
        <v>the automated assessment elaboration take time</v>
      </c>
      <c r="E9" s="7"/>
      <c r="F9" s="7"/>
      <c r="G9" s="5"/>
      <c r="H9" s="10"/>
      <c r="I9" s="9"/>
    </row>
    <row r="10">
      <c r="A10" s="4">
        <f>IFERROR(__xludf.DUMMYFUNCTION("""COMPUTED_VALUE"""),8.0)</f>
        <v>8</v>
      </c>
      <c r="B10" s="5" t="str">
        <f>IFERROR(__xludf.DUMMYFUNCTION("TEXTJOIN("", "", true, filter('Paper Challenges Quotes'!D:D,'Paper Challenges Quotes'!F:F=D10))"),"13")</f>
        <v>13</v>
      </c>
      <c r="C10" s="4" t="str">
        <f>IFERROR(__xludf.DUMMYFUNCTION("""COMPUTED_VALUE"""),"assessment")</f>
        <v>assessment</v>
      </c>
      <c r="D10" s="4" t="str">
        <f>IFERROR(__xludf.DUMMYFUNCTION("""COMPUTED_VALUE"""),"assessment of complex exercises were done with code review instead of system execution.")</f>
        <v>assessment of complex exercises were done with code review instead of system execution.</v>
      </c>
      <c r="E10" s="7"/>
      <c r="F10" s="7"/>
      <c r="G10" s="5"/>
      <c r="H10" s="10"/>
      <c r="I10" s="9"/>
    </row>
    <row r="11">
      <c r="A11" s="4">
        <f>IFERROR(__xludf.DUMMYFUNCTION("""COMPUTED_VALUE"""),9.0)</f>
        <v>9</v>
      </c>
      <c r="B11" s="5" t="str">
        <f>IFERROR(__xludf.DUMMYFUNCTION("TEXTJOIN("", "", true, filter('Paper Challenges Quotes'!D:D,'Paper Challenges Quotes'!F:F=D11))"),"13")</f>
        <v>13</v>
      </c>
      <c r="C11" s="4" t="str">
        <f>IFERROR(__xludf.DUMMYFUNCTION("""COMPUTED_VALUE"""),"assessment")</f>
        <v>assessment</v>
      </c>
      <c r="D11" s="4" t="str">
        <f>IFERROR(__xludf.DUMMYFUNCTION("""COMPUTED_VALUE"""),"the ‘no deadline’ meant that the in-coming queue late in the course contained submissions from all iterations")</f>
        <v>the ‘no deadline’ meant that the in-coming queue late in the course contained submissions from all iterations</v>
      </c>
      <c r="E11" s="7"/>
      <c r="F11" s="7"/>
      <c r="G11" s="5"/>
      <c r="H11" s="10"/>
      <c r="I11" s="9"/>
    </row>
    <row r="12">
      <c r="A12" s="4">
        <f>IFERROR(__xludf.DUMMYFUNCTION("""COMPUTED_VALUE"""),10.0)</f>
        <v>10</v>
      </c>
      <c r="B12" s="5" t="str">
        <f>IFERROR(__xludf.DUMMYFUNCTION("TEXTJOIN("", "", true, filter('Paper Challenges Quotes'!D:D,'Paper Challenges Quotes'!F:F=D12))"),"13")</f>
        <v>13</v>
      </c>
      <c r="C12" s="4" t="str">
        <f>IFERROR(__xludf.DUMMYFUNCTION("""COMPUTED_VALUE"""),"assessment")</f>
        <v>assessment</v>
      </c>
      <c r="D12" s="4" t="str">
        <f>IFERROR(__xludf.DUMMYFUNCTION("""COMPUTED_VALUE"""),"the ‘unlimited submission’ strategy had the unfortunate consequence of sloppy submissions")</f>
        <v>the ‘unlimited submission’ strategy had the unfortunate consequence of sloppy submissions</v>
      </c>
      <c r="E12" s="7"/>
      <c r="F12" s="7"/>
      <c r="G12" s="5"/>
      <c r="H12" s="10"/>
      <c r="I12" s="9"/>
    </row>
    <row r="13">
      <c r="A13" s="4">
        <f>IFERROR(__xludf.DUMMYFUNCTION("""COMPUTED_VALUE"""),11.0)</f>
        <v>11</v>
      </c>
      <c r="B13" s="5" t="str">
        <f>IFERROR(__xludf.DUMMYFUNCTION("TEXTJOIN("", "", true, filter('Paper Challenges Quotes'!D:D,'Paper Challenges Quotes'!F:F=D13))"),"13")</f>
        <v>13</v>
      </c>
      <c r="C13" s="4" t="str">
        <f>IFERROR(__xludf.DUMMYFUNCTION("""COMPUTED_VALUE"""),"assessment")</f>
        <v>assessment</v>
      </c>
      <c r="D13" s="4" t="str">
        <f>IFERROR(__xludf.DUMMYFUNCTION("""COMPUTED_VALUE"""),"Wasted much time with trivial errors unrelated to the actual exercise solution.")</f>
        <v>Wasted much time with trivial errors unrelated to the actual exercise solution.</v>
      </c>
      <c r="E13" s="7"/>
      <c r="F13" s="7">
        <v>73.0</v>
      </c>
      <c r="G13" s="5" t="s">
        <v>14</v>
      </c>
      <c r="H13" s="10"/>
      <c r="I13" s="9" t="s">
        <v>10</v>
      </c>
    </row>
    <row r="14">
      <c r="A14" s="4">
        <f>IFERROR(__xludf.DUMMYFUNCTION("""COMPUTED_VALUE"""),12.0)</f>
        <v>12</v>
      </c>
      <c r="B14" s="5" t="str">
        <f>IFERROR(__xludf.DUMMYFUNCTION("TEXTJOIN("", "", true, filter('Paper Challenges Quotes'!D:D,'Paper Challenges Quotes'!F:F=D14))"),"10, 13")</f>
        <v>10, 13</v>
      </c>
      <c r="C14" s="4" t="str">
        <f>IFERROR(__xludf.DUMMYFUNCTION("""COMPUTED_VALUE"""),"classes preparation")</f>
        <v>classes preparation</v>
      </c>
      <c r="D14" s="4" t="str">
        <f>IFERROR(__xludf.DUMMYFUNCTION("""COMPUTED_VALUE"""),"limited research in teaching DevOps")</f>
        <v>limited research in teaching DevOps</v>
      </c>
      <c r="E14" s="4"/>
      <c r="F14" s="7">
        <v>12.0</v>
      </c>
      <c r="G14" s="5" t="s">
        <v>15</v>
      </c>
      <c r="H14" s="11"/>
      <c r="I14" s="9" t="s">
        <v>12</v>
      </c>
    </row>
    <row r="15">
      <c r="A15" s="4">
        <f>IFERROR(__xludf.DUMMYFUNCTION("""COMPUTED_VALUE"""),13.0)</f>
        <v>13</v>
      </c>
      <c r="B15" s="5" t="str">
        <f>IFERROR(__xludf.DUMMYFUNCTION("TEXTJOIN("", "", true, filter('Paper Challenges Quotes'!D:D,'Paper Challenges Quotes'!F:F=D15))"),"1")</f>
        <v>1</v>
      </c>
      <c r="C15" s="4" t="str">
        <f>IFERROR(__xludf.DUMMYFUNCTION("""COMPUTED_VALUE"""),"classes preparation")</f>
        <v>classes preparation</v>
      </c>
      <c r="D15" s="5" t="str">
        <f>IFERROR(__xludf.DUMMYFUNCTION("""COMPUTED_VALUE"""),"There is little research into effective teaching pratices for incorporating DevOps into traditional software engineer courses")</f>
        <v>There is little research into effective teaching pratices for incorporating DevOps into traditional software engineer courses</v>
      </c>
      <c r="E15" s="4"/>
      <c r="F15" s="7">
        <v>12.0</v>
      </c>
      <c r="G15" s="5" t="s">
        <v>15</v>
      </c>
      <c r="H15" s="11"/>
      <c r="I15" s="9" t="s">
        <v>12</v>
      </c>
    </row>
    <row r="16">
      <c r="A16" s="4">
        <f>IFERROR(__xludf.DUMMYFUNCTION("""COMPUTED_VALUE"""),14.0)</f>
        <v>14</v>
      </c>
      <c r="B16" s="5" t="str">
        <f>IFERROR(__xludf.DUMMYFUNCTION("TEXTJOIN("", "", true, filter('Paper Challenges Quotes'!D:D,'Paper Challenges Quotes'!F:F=D16))"),"6")</f>
        <v>6</v>
      </c>
      <c r="C16" s="4" t="str">
        <f>IFERROR(__xludf.DUMMYFUNCTION("""COMPUTED_VALUE"""),"classes preparation")</f>
        <v>classes preparation</v>
      </c>
      <c r="D16" s="4" t="str">
        <f>IFERROR(__xludf.DUMMYFUNCTION("""COMPUTED_VALUE"""),"lack of a proper and sound theory of DevOps")</f>
        <v>lack of a proper and sound theory of DevOps</v>
      </c>
      <c r="E16" s="6"/>
      <c r="F16" s="7">
        <v>77.0</v>
      </c>
      <c r="G16" s="5" t="s">
        <v>16</v>
      </c>
      <c r="H16" s="11"/>
      <c r="I16" s="9" t="s">
        <v>12</v>
      </c>
    </row>
    <row r="17">
      <c r="A17" s="4">
        <f>IFERROR(__xludf.DUMMYFUNCTION("""COMPUTED_VALUE"""),15.0)</f>
        <v>15</v>
      </c>
      <c r="B17" s="5" t="str">
        <f>IFERROR(__xludf.DUMMYFUNCTION("TEXTJOIN("", "", true, filter('Paper Challenges Quotes'!D:D,'Paper Challenges Quotes'!F:F=D17))"),"5")</f>
        <v>5</v>
      </c>
      <c r="C17" s="4" t="str">
        <f>IFERROR(__xludf.DUMMYFUNCTION("""COMPUTED_VALUE"""),"classes preparation")</f>
        <v>classes preparation</v>
      </c>
      <c r="D17" s="5" t="str">
        <f>IFERROR(__xludf.DUMMYFUNCTION("""COMPUTED_VALUE"""),"DevOps has not yet standardized with the Software Engineerigin Body of Knowledge")</f>
        <v>DevOps has not yet standardized with the Software Engineerigin Body of Knowledge</v>
      </c>
      <c r="E17" s="6"/>
      <c r="F17" s="7">
        <v>6.0</v>
      </c>
      <c r="G17" s="5" t="s">
        <v>17</v>
      </c>
      <c r="H17" s="11"/>
      <c r="I17" s="9" t="s">
        <v>12</v>
      </c>
    </row>
    <row r="18">
      <c r="A18" s="12">
        <f>IFERROR(__xludf.DUMMYFUNCTION("""COMPUTED_VALUE"""),16.0)</f>
        <v>16</v>
      </c>
      <c r="B18" s="5" t="str">
        <f>IFERROR(__xludf.DUMMYFUNCTION("TEXTJOIN("", "", true, filter('Paper Challenges Quotes'!D:D,'Paper Challenges Quotes'!F:F=D18))"),"9")</f>
        <v>9</v>
      </c>
      <c r="C18" s="4" t="str">
        <f>IFERROR(__xludf.DUMMYFUNCTION("""COMPUTED_VALUE"""),"classes preparation")</f>
        <v>classes preparation</v>
      </c>
      <c r="D18" s="4" t="str">
        <f>IFERROR(__xludf.DUMMYFUNCTION("""COMPUTED_VALUE"""),"educators need to be conscious about when planning and conducting their teaching.")</f>
        <v>educators need to be conscious about when planning and conducting their teaching.</v>
      </c>
      <c r="E18" s="7"/>
      <c r="F18" s="7"/>
      <c r="G18" s="5"/>
      <c r="H18" s="10"/>
      <c r="I18" s="9"/>
    </row>
    <row r="19">
      <c r="A19" s="4">
        <f>IFERROR(__xludf.DUMMYFUNCTION("""COMPUTED_VALUE"""),17.0)</f>
        <v>17</v>
      </c>
      <c r="B19" s="5" t="str">
        <f>IFERROR(__xludf.DUMMYFUNCTION("TEXTJOIN("", "", true, filter('Paper Challenges Quotes'!D:D,'Paper Challenges Quotes'!F:F=D19))"),"4")</f>
        <v>4</v>
      </c>
      <c r="C19" s="4" t="str">
        <f>IFERROR(__xludf.DUMMYFUNCTION("""COMPUTED_VALUE"""),"classes preparation")</f>
        <v>classes preparation</v>
      </c>
      <c r="D19" s="4" t="str">
        <f>IFERROR(__xludf.DUMMYFUNCTION("""COMPUTED_VALUE"""),"the teaching staff had to invest a non-negligible time in the preparation of the course.")</f>
        <v>the teaching staff had to invest a non-negligible time in the preparation of the course.</v>
      </c>
      <c r="E19" s="6"/>
      <c r="F19" s="7">
        <v>43.0</v>
      </c>
      <c r="G19" s="5" t="s">
        <v>18</v>
      </c>
      <c r="H19" s="11"/>
      <c r="I19" s="9" t="s">
        <v>12</v>
      </c>
    </row>
    <row r="20">
      <c r="A20" s="4">
        <f>IFERROR(__xludf.DUMMYFUNCTION("""COMPUTED_VALUE"""),18.0)</f>
        <v>18</v>
      </c>
      <c r="B20" s="5" t="str">
        <f>IFERROR(__xludf.DUMMYFUNCTION("TEXTJOIN("", "", true, filter('Paper Challenges Quotes'!D:D,'Paper Challenges Quotes'!F:F=D20))"),"16")</f>
        <v>16</v>
      </c>
      <c r="C20" s="4" t="str">
        <f>IFERROR(__xludf.DUMMYFUNCTION("""COMPUTED_VALUE"""),"classes preparation")</f>
        <v>classes preparation</v>
      </c>
      <c r="D20" s="4" t="str">
        <f>IFERROR(__xludf.DUMMYFUNCTION("""COMPUTED_VALUE"""),"the questionnaire may have been ambiguous in some parts, and possibly too generic.")</f>
        <v>the questionnaire may have been ambiguous in some parts, and possibly too generic.</v>
      </c>
      <c r="E20" s="6"/>
      <c r="F20" s="7">
        <v>28.0</v>
      </c>
      <c r="G20" s="5" t="s">
        <v>19</v>
      </c>
      <c r="H20" s="11"/>
      <c r="I20" s="9" t="s">
        <v>12</v>
      </c>
    </row>
    <row r="21">
      <c r="A21" s="4">
        <f>IFERROR(__xludf.DUMMYFUNCTION("""COMPUTED_VALUE"""),19.0)</f>
        <v>19</v>
      </c>
      <c r="B21" s="5" t="str">
        <f>IFERROR(__xludf.DUMMYFUNCTION("TEXTJOIN("", "", true, filter('Paper Challenges Quotes'!D:D,'Paper Challenges Quotes'!F:F=D21))"),"16")</f>
        <v>16</v>
      </c>
      <c r="C21" s="13" t="str">
        <f>IFERROR(__xludf.DUMMYFUNCTION("""COMPUTED_VALUE"""),"classes preparation")</f>
        <v>classes preparation</v>
      </c>
      <c r="D21" s="5" t="str">
        <f>IFERROR(__xludf.DUMMYFUNCTION("""COMPUTED_VALUE"""),"spend considerable amount of time collecting information on-site about the teams and technologies they used")</f>
        <v>spend considerable amount of time collecting information on-site about the teams and technologies they used</v>
      </c>
      <c r="E21" s="7"/>
      <c r="F21" s="7"/>
      <c r="G21" s="5"/>
      <c r="H21" s="10"/>
      <c r="I21" s="9"/>
    </row>
    <row r="22">
      <c r="A22" s="4">
        <f>IFERROR(__xludf.DUMMYFUNCTION("""COMPUTED_VALUE"""),20.0)</f>
        <v>20</v>
      </c>
      <c r="B22" s="5" t="str">
        <f>IFERROR(__xludf.DUMMYFUNCTION("TEXTJOIN("", "", true, filter('Paper Challenges Quotes'!D:D,'Paper Challenges Quotes'!F:F=D22))"),"16")</f>
        <v>16</v>
      </c>
      <c r="C22" s="4" t="str">
        <f>IFERROR(__xludf.DUMMYFUNCTION("""COMPUTED_VALUE"""),"classes preparation")</f>
        <v>classes preparation</v>
      </c>
      <c r="D22" s="5" t="str">
        <f>IFERROR(__xludf.DUMMYFUNCTION("""COMPUTED_VALUE"""),"unable to collect information because of corporate privacy")</f>
        <v>unable to collect information because of corporate privacy</v>
      </c>
      <c r="E22" s="7"/>
      <c r="F22" s="7"/>
      <c r="G22" s="5"/>
      <c r="H22" s="10"/>
      <c r="I22" s="9"/>
    </row>
    <row r="23">
      <c r="A23" s="4">
        <f>IFERROR(__xludf.DUMMYFUNCTION("""COMPUTED_VALUE"""),21.0)</f>
        <v>21</v>
      </c>
      <c r="B23" s="5" t="str">
        <f>IFERROR(__xludf.DUMMYFUNCTION("TEXTJOIN("", "", true, filter('Paper Challenges Quotes'!D:D,'Paper Challenges Quotes'!F:F=D23))"),"15")</f>
        <v>15</v>
      </c>
      <c r="C23" s="13" t="str">
        <f>IFERROR(__xludf.DUMMYFUNCTION("""COMPUTED_VALUE"""),"classes preparation")</f>
        <v>classes preparation</v>
      </c>
      <c r="D23" s="5" t="str">
        <f>IFERROR(__xludf.DUMMYFUNCTION("""COMPUTED_VALUE"""),"Bilateral previous communication with teams is not always possible or facilitated.")</f>
        <v>Bilateral previous communication with teams is not always possible or facilitated.</v>
      </c>
      <c r="E23" s="7"/>
      <c r="F23" s="7">
        <v>36.0</v>
      </c>
      <c r="G23" s="5" t="s">
        <v>20</v>
      </c>
      <c r="H23" s="10"/>
      <c r="I23" s="9" t="s">
        <v>10</v>
      </c>
    </row>
    <row r="24">
      <c r="A24" s="4">
        <f>IFERROR(__xludf.DUMMYFUNCTION("""COMPUTED_VALUE"""),22.0)</f>
        <v>22</v>
      </c>
      <c r="B24" s="5" t="str">
        <f>IFERROR(__xludf.DUMMYFUNCTION("TEXTJOIN("", "", true, filter('Paper Challenges Quotes'!D:D,'Paper Challenges Quotes'!F:F=D24))"),"15")</f>
        <v>15</v>
      </c>
      <c r="C24" s="14" t="str">
        <f>IFERROR(__xludf.DUMMYFUNCTION("""COMPUTED_VALUE"""),"curriculum")</f>
        <v>curriculum</v>
      </c>
      <c r="D24" s="4" t="str">
        <f>IFERROR(__xludf.DUMMYFUNCTION("""COMPUTED_VALUE"""),"DevOps still received minor attention in higher education.")</f>
        <v>DevOps still received minor attention in higher education.</v>
      </c>
      <c r="E24" s="7"/>
      <c r="F24" s="7">
        <v>50.0</v>
      </c>
      <c r="G24" s="5" t="s">
        <v>21</v>
      </c>
      <c r="H24" s="11"/>
      <c r="I24" s="9" t="s">
        <v>12</v>
      </c>
    </row>
    <row r="25">
      <c r="A25" s="4">
        <f>IFERROR(__xludf.DUMMYFUNCTION("""COMPUTED_VALUE"""),23.0)</f>
        <v>23</v>
      </c>
      <c r="B25" s="5" t="str">
        <f>IFERROR(__xludf.DUMMYFUNCTION("TEXTJOIN("", "", true, filter('Paper Challenges Quotes'!D:D,'Paper Challenges Quotes'!F:F=D25))"),"15")</f>
        <v>15</v>
      </c>
      <c r="C25" s="4" t="str">
        <f>IFERROR(__xludf.DUMMYFUNCTION("""COMPUTED_VALUE"""),"curriculum")</f>
        <v>curriculum</v>
      </c>
      <c r="D25" s="4" t="str">
        <f>IFERROR(__xludf.DUMMYFUNCTION("""COMPUTED_VALUE"""),"curricula is still outdated.")</f>
        <v>curricula is still outdated.</v>
      </c>
      <c r="E25" s="6"/>
      <c r="F25" s="7">
        <v>51.0</v>
      </c>
      <c r="G25" s="5" t="s">
        <v>22</v>
      </c>
      <c r="H25" s="10"/>
      <c r="I25" s="9" t="s">
        <v>12</v>
      </c>
    </row>
    <row r="26">
      <c r="A26" s="4">
        <f>IFERROR(__xludf.DUMMYFUNCTION("""COMPUTED_VALUE"""),24.0)</f>
        <v>24</v>
      </c>
      <c r="B26" s="5" t="str">
        <f>IFERROR(__xludf.DUMMYFUNCTION("TEXTJOIN("", "", true, filter('Paper Challenges Quotes'!D:D,'Paper Challenges Quotes'!F:F=D26))"),"7, 13, 15")</f>
        <v>7, 13, 15</v>
      </c>
      <c r="C26" s="4" t="str">
        <f>IFERROR(__xludf.DUMMYFUNCTION("""COMPUTED_VALUE"""),"curriculum")</f>
        <v>curriculum</v>
      </c>
      <c r="D26" s="4" t="str">
        <f>IFERROR(__xludf.DUMMYFUNCTION("""COMPUTED_VALUE"""),"courses teach “Dev” rather than “Ops”")</f>
        <v>courses teach “Dev” rather than “Ops”</v>
      </c>
      <c r="E26" s="6"/>
      <c r="F26" s="7">
        <v>59.0</v>
      </c>
      <c r="G26" s="5" t="s">
        <v>23</v>
      </c>
      <c r="H26" s="10"/>
      <c r="I26" s="9" t="s">
        <v>12</v>
      </c>
    </row>
    <row r="27">
      <c r="A27" s="4">
        <f>IFERROR(__xludf.DUMMYFUNCTION("""COMPUTED_VALUE"""),25.0)</f>
        <v>25</v>
      </c>
      <c r="B27" s="5" t="str">
        <f>IFERROR(__xludf.DUMMYFUNCTION("TEXTJOIN("", "", true, filter('Paper Challenges Quotes'!D:D,'Paper Challenges Quotes'!F:F=D27))"),"15")</f>
        <v>15</v>
      </c>
      <c r="C27" s="4" t="str">
        <f>IFERROR(__xludf.DUMMYFUNCTION("""COMPUTED_VALUE"""),"curriculum")</f>
        <v>curriculum</v>
      </c>
      <c r="D27" s="4" t="str">
        <f>IFERROR(__xludf.DUMMYFUNCTION("""COMPUTED_VALUE"""),"Devops mindset should be considered to fine tune curricula.")</f>
        <v>Devops mindset should be considered to fine tune curricula.</v>
      </c>
      <c r="F27" s="7">
        <v>25.0</v>
      </c>
      <c r="G27" s="5" t="s">
        <v>9</v>
      </c>
      <c r="H27" s="10"/>
      <c r="I27" s="9" t="s">
        <v>10</v>
      </c>
    </row>
    <row r="28">
      <c r="A28" s="4">
        <f>IFERROR(__xludf.DUMMYFUNCTION("""COMPUTED_VALUE"""),26.0)</f>
        <v>26</v>
      </c>
      <c r="B28" s="5" t="str">
        <f>IFERROR(__xludf.DUMMYFUNCTION("TEXTJOIN("", "", true, filter('Paper Challenges Quotes'!D:D,'Paper Challenges Quotes'!F:F=D28))"),"9, 13")</f>
        <v>9, 13</v>
      </c>
      <c r="C28" s="4" t="str">
        <f>IFERROR(__xludf.DUMMYFUNCTION("""COMPUTED_VALUE"""),"curriculum")</f>
        <v>curriculum</v>
      </c>
      <c r="D28" s="4" t="str">
        <f>IFERROR(__xludf.DUMMYFUNCTION("""COMPUTED_VALUE"""),"Teaching DevOps is multidisciplinary and therefore crosscutting the traditional course boundaries.")</f>
        <v>Teaching DevOps is multidisciplinary and therefore crosscutting the traditional course boundaries.</v>
      </c>
      <c r="E28" s="6"/>
      <c r="F28" s="7">
        <v>29.0</v>
      </c>
      <c r="G28" s="5" t="s">
        <v>24</v>
      </c>
      <c r="H28" s="10"/>
      <c r="I28" s="9" t="s">
        <v>12</v>
      </c>
    </row>
    <row r="29">
      <c r="A29" s="4">
        <f>IFERROR(__xludf.DUMMYFUNCTION("""COMPUTED_VALUE"""),27.0)</f>
        <v>27</v>
      </c>
      <c r="B29" s="5" t="str">
        <f>IFERROR(__xludf.DUMMYFUNCTION("TEXTJOIN("", "", true, filter('Paper Challenges Quotes'!D:D,'Paper Challenges Quotes'!F:F=D29))"),"4, 5")</f>
        <v>4, 5</v>
      </c>
      <c r="C29" s="4" t="str">
        <f>IFERROR(__xludf.DUMMYFUNCTION("""COMPUTED_VALUE"""),"curriculum")</f>
        <v>curriculum</v>
      </c>
      <c r="D29" s="4" t="str">
        <f>IFERROR(__xludf.DUMMYFUNCTION("""COMPUTED_VALUE"""),"students prerequisite was insufficient")</f>
        <v>students prerequisite was insufficient</v>
      </c>
      <c r="E29" s="6"/>
      <c r="F29" s="7">
        <v>1.0</v>
      </c>
      <c r="G29" s="5" t="s">
        <v>13</v>
      </c>
      <c r="H29" s="10"/>
      <c r="I29" s="9" t="s">
        <v>12</v>
      </c>
    </row>
    <row r="30">
      <c r="A30" s="4">
        <f>IFERROR(__xludf.DUMMYFUNCTION("""COMPUTED_VALUE"""),28.0)</f>
        <v>28</v>
      </c>
      <c r="B30" s="5" t="str">
        <f>IFERROR(__xludf.DUMMYFUNCTION("TEXTJOIN("", "", true, filter('Paper Challenges Quotes'!D:D,'Paper Challenges Quotes'!F:F=D30))"),"4")</f>
        <v>4</v>
      </c>
      <c r="C30" s="4" t="str">
        <f>IFERROR(__xludf.DUMMYFUNCTION("""COMPUTED_VALUE"""),"curriculum")</f>
        <v>curriculum</v>
      </c>
      <c r="D30" s="4" t="str">
        <f>IFERROR(__xludf.DUMMYFUNCTION("""COMPUTED_VALUE"""),"high effort vs. course ECTS")</f>
        <v>high effort vs. course ECTS</v>
      </c>
      <c r="F30" s="7">
        <v>60.0</v>
      </c>
      <c r="G30" s="5" t="s">
        <v>25</v>
      </c>
      <c r="H30" s="11"/>
      <c r="I30" s="9" t="s">
        <v>10</v>
      </c>
    </row>
    <row r="31">
      <c r="A31" s="4">
        <f>IFERROR(__xludf.DUMMYFUNCTION("""COMPUTED_VALUE"""),29.0)</f>
        <v>29</v>
      </c>
      <c r="B31" s="5" t="str">
        <f>IFERROR(__xludf.DUMMYFUNCTION("TEXTJOIN("", "", true, filter('Paper Challenges Quotes'!D:D,'Paper Challenges Quotes'!F:F=D31))"),"4")</f>
        <v>4</v>
      </c>
      <c r="C31" s="4" t="str">
        <f>IFERROR(__xludf.DUMMYFUNCTION("""COMPUTED_VALUE"""),"curriculum")</f>
        <v>curriculum</v>
      </c>
      <c r="D31" s="4" t="str">
        <f>IFERROR(__xludf.DUMMYFUNCTION("""COMPUTED_VALUE"""),"students quit the course because of workload")</f>
        <v>students quit the course because of workload</v>
      </c>
      <c r="E31" s="7"/>
      <c r="F31" s="7"/>
      <c r="G31" s="5"/>
      <c r="H31" s="10"/>
      <c r="I31" s="9"/>
    </row>
    <row r="32">
      <c r="A32" s="4">
        <f>IFERROR(__xludf.DUMMYFUNCTION("""COMPUTED_VALUE"""),30.0)</f>
        <v>30</v>
      </c>
      <c r="B32" s="5" t="str">
        <f>IFERROR(__xludf.DUMMYFUNCTION("TEXTJOIN("", "", true, filter('Paper Challenges Quotes'!D:D,'Paper Challenges Quotes'!F:F=D32))"),"1, 15")</f>
        <v>1, 15</v>
      </c>
      <c r="C32" s="4" t="str">
        <f>IFERROR(__xludf.DUMMYFUNCTION("""COMPUTED_VALUE"""),"curriculum")</f>
        <v>curriculum</v>
      </c>
      <c r="D32" s="4" t="str">
        <f>IFERROR(__xludf.DUMMYFUNCTION("""COMPUTED_VALUE"""),"The little time available to teaching complexities of CD and CI.")</f>
        <v>The little time available to teaching complexities of CD and CI.</v>
      </c>
      <c r="E32" s="6"/>
      <c r="F32" s="7">
        <v>8.0</v>
      </c>
      <c r="G32" s="5" t="s">
        <v>26</v>
      </c>
      <c r="H32" s="10"/>
      <c r="I32" s="9" t="s">
        <v>12</v>
      </c>
    </row>
    <row r="33">
      <c r="A33" s="4">
        <f>IFERROR(__xludf.DUMMYFUNCTION("""COMPUTED_VALUE"""),31.0)</f>
        <v>31</v>
      </c>
      <c r="B33" s="5" t="str">
        <f>IFERROR(__xludf.DUMMYFUNCTION("TEXTJOIN("", "", true, filter('Paper Challenges Quotes'!D:D,'Paper Challenges Quotes'!F:F=D33))"),"9")</f>
        <v>9</v>
      </c>
      <c r="C33" s="4" t="str">
        <f>IFERROR(__xludf.DUMMYFUNCTION("""COMPUTED_VALUE"""),"curriculum")</f>
        <v>curriculum</v>
      </c>
      <c r="D33" s="4" t="str">
        <f>IFERROR(__xludf.DUMMYFUNCTION("""COMPUTED_VALUE"""),"It was shot time frame (two weeks) in 125 hours for students' workload.")</f>
        <v>It was shot time frame (two weeks) in 125 hours for students' workload.</v>
      </c>
      <c r="E33" s="6"/>
      <c r="F33" s="7">
        <v>8.0</v>
      </c>
      <c r="G33" s="5" t="s">
        <v>26</v>
      </c>
      <c r="H33" s="10"/>
      <c r="I33" s="9" t="s">
        <v>12</v>
      </c>
    </row>
    <row r="34">
      <c r="A34" s="4">
        <f>IFERROR(__xludf.DUMMYFUNCTION("""COMPUTED_VALUE"""),32.0)</f>
        <v>32</v>
      </c>
      <c r="B34" s="5" t="str">
        <f>IFERROR(__xludf.DUMMYFUNCTION("TEXTJOIN("", "", true, filter('Paper Challenges Quotes'!D:D,'Paper Challenges Quotes'!F:F=D34))"),"1")</f>
        <v>1</v>
      </c>
      <c r="C34" s="4" t="str">
        <f>IFERROR(__xludf.DUMMYFUNCTION("""COMPUTED_VALUE"""),"curriculum")</f>
        <v>curriculum</v>
      </c>
      <c r="D34" s="4" t="str">
        <f>IFERROR(__xludf.DUMMYFUNCTION("""COMPUTED_VALUE"""),"the time available to teach CD and CI is devoted to other concepts")</f>
        <v>the time available to teach CD and CI is devoted to other concepts</v>
      </c>
      <c r="E34" s="7"/>
      <c r="F34" s="7">
        <v>77.0</v>
      </c>
      <c r="G34" s="5" t="s">
        <v>16</v>
      </c>
      <c r="H34" s="10"/>
      <c r="I34" s="9" t="s">
        <v>10</v>
      </c>
    </row>
    <row r="35">
      <c r="A35" s="4">
        <f>IFERROR(__xludf.DUMMYFUNCTION("""COMPUTED_VALUE"""),33.0)</f>
        <v>33</v>
      </c>
      <c r="B35" s="5" t="str">
        <f>IFERROR(__xludf.DUMMYFUNCTION("TEXTJOIN("", "", true, filter('Paper Challenges Quotes'!D:D,'Paper Challenges Quotes'!F:F=D35))"),"1, 10, 13")</f>
        <v>1, 10, 13</v>
      </c>
      <c r="C35" s="4" t="str">
        <f>IFERROR(__xludf.DUMMYFUNCTION("""COMPUTED_VALUE"""),"devops concepts")</f>
        <v>devops concepts</v>
      </c>
      <c r="D35" s="4" t="str">
        <f>IFERROR(__xludf.DUMMYFUNCTION("""COMPUTED_VALUE"""),"CD and related concepts are complex.")</f>
        <v>CD and related concepts are complex.</v>
      </c>
      <c r="E35" s="6"/>
      <c r="F35" s="7">
        <v>85.0</v>
      </c>
      <c r="G35" s="5" t="s">
        <v>27</v>
      </c>
      <c r="H35" s="10"/>
      <c r="I35" s="9" t="s">
        <v>12</v>
      </c>
    </row>
    <row r="36">
      <c r="A36" s="4">
        <f>IFERROR(__xludf.DUMMYFUNCTION("""COMPUTED_VALUE"""),34.0)</f>
        <v>34</v>
      </c>
      <c r="B36" s="5" t="str">
        <f>IFERROR(__xludf.DUMMYFUNCTION("TEXTJOIN("", "", true, filter('Paper Challenges Quotes'!D:D,'Paper Challenges Quotes'!F:F=D36))"),"9")</f>
        <v>9</v>
      </c>
      <c r="C36" s="4" t="str">
        <f>IFERROR(__xludf.DUMMYFUNCTION("""COMPUTED_VALUE"""),"devops concepts")</f>
        <v>devops concepts</v>
      </c>
      <c r="D36" s="4" t="str">
        <f>IFERROR(__xludf.DUMMYFUNCTION("""COMPUTED_VALUE"""),"students have difficulties in explaining IaC")</f>
        <v>students have difficulties in explaining IaC</v>
      </c>
      <c r="E36" s="7"/>
      <c r="F36" s="7"/>
      <c r="G36" s="5"/>
      <c r="H36" s="10"/>
      <c r="I36" s="9"/>
    </row>
    <row r="37">
      <c r="A37" s="4">
        <f>IFERROR(__xludf.DUMMYFUNCTION("""COMPUTED_VALUE"""),35.0)</f>
        <v>35</v>
      </c>
      <c r="B37" s="5" t="str">
        <f>IFERROR(__xludf.DUMMYFUNCTION("TEXTJOIN("", "", true, filter('Paper Challenges Quotes'!D:D,'Paper Challenges Quotes'!F:F=D37))"),"9, 15")</f>
        <v>9, 15</v>
      </c>
      <c r="C37" s="4" t="str">
        <f>IFERROR(__xludf.DUMMYFUNCTION("""COMPUTED_VALUE"""),"devops concepts")</f>
        <v>devops concepts</v>
      </c>
      <c r="D37" s="4" t="str">
        <f>IFERROR(__xludf.DUMMYFUNCTION("""COMPUTED_VALUE"""),"teach DevOps mindset / cultural")</f>
        <v>teach DevOps mindset / cultural</v>
      </c>
      <c r="E37" s="6"/>
      <c r="F37" s="7">
        <v>25.0</v>
      </c>
      <c r="G37" s="5" t="s">
        <v>9</v>
      </c>
      <c r="H37" s="10"/>
      <c r="I37" s="9" t="s">
        <v>12</v>
      </c>
    </row>
    <row r="38">
      <c r="A38" s="4">
        <f>IFERROR(__xludf.DUMMYFUNCTION("""COMPUTED_VALUE"""),36.0)</f>
        <v>36</v>
      </c>
      <c r="B38" s="5" t="str">
        <f>IFERROR(__xludf.DUMMYFUNCTION("TEXTJOIN("", "", true, filter('Paper Challenges Quotes'!D:D,'Paper Challenges Quotes'!F:F=D38))"),"14")</f>
        <v>14</v>
      </c>
      <c r="C38" s="4" t="str">
        <f>IFERROR(__xludf.DUMMYFUNCTION("""COMPUTED_VALUE"""),"devops concepts")</f>
        <v>devops concepts</v>
      </c>
      <c r="D38" s="4" t="str">
        <f>IFERROR(__xludf.DUMMYFUNCTION("""COMPUTED_VALUE"""),"trade-off between teaching practice (technological stacks) and theoric (principles and pillars)")</f>
        <v>trade-off between teaching practice (technological stacks) and theoric (principles and pillars)</v>
      </c>
      <c r="E38" s="6"/>
      <c r="F38" s="7">
        <v>35.0</v>
      </c>
      <c r="G38" s="5" t="s">
        <v>28</v>
      </c>
      <c r="H38" s="10"/>
      <c r="I38" s="9" t="s">
        <v>12</v>
      </c>
    </row>
    <row r="39">
      <c r="A39" s="4">
        <f>IFERROR(__xludf.DUMMYFUNCTION("""COMPUTED_VALUE"""),37.0)</f>
        <v>37</v>
      </c>
      <c r="B39" s="5" t="str">
        <f>IFERROR(__xludf.DUMMYFUNCTION("TEXTJOIN("", "", true, filter('Paper Challenges Quotes'!D:D,'Paper Challenges Quotes'!F:F=D39))"),"9")</f>
        <v>9</v>
      </c>
      <c r="C39" s="4" t="str">
        <f>IFERROR(__xludf.DUMMYFUNCTION("""COMPUTED_VALUE"""),"devops concepts")</f>
        <v>devops concepts</v>
      </c>
      <c r="D39" s="4" t="str">
        <f>IFERROR(__xludf.DUMMYFUNCTION("""COMPUTED_VALUE"""),"Universities need to explore feasible ways to keep up with the technological development in a way that allows them concentrate on fundamentals and underpinning theories.")</f>
        <v>Universities need to explore feasible ways to keep up with the technological development in a way that allows them concentrate on fundamentals and underpinning theories.</v>
      </c>
      <c r="E39" s="6"/>
      <c r="F39" s="7">
        <v>41.0</v>
      </c>
      <c r="G39" s="5" t="s">
        <v>29</v>
      </c>
      <c r="H39" s="10"/>
      <c r="I39" s="9" t="s">
        <v>12</v>
      </c>
    </row>
    <row r="40">
      <c r="A40" s="4">
        <f>IFERROR(__xludf.DUMMYFUNCTION("""COMPUTED_VALUE"""),38.0)</f>
        <v>38</v>
      </c>
      <c r="B40" s="5" t="str">
        <f>IFERROR(__xludf.DUMMYFUNCTION("TEXTJOIN("", "", true, filter('Paper Challenges Quotes'!D:D,'Paper Challenges Quotes'!F:F=D40))"),"6, 13")</f>
        <v>6, 13</v>
      </c>
      <c r="C40" s="4" t="str">
        <f>IFERROR(__xludf.DUMMYFUNCTION("""COMPUTED_VALUE"""),"devops concepts")</f>
        <v>devops concepts</v>
      </c>
      <c r="D40" s="4" t="str">
        <f>IFERROR(__xludf.DUMMYFUNCTION("""COMPUTED_VALUE"""),"teachers need to learn operations.")</f>
        <v>teachers need to learn operations.</v>
      </c>
      <c r="E40" s="6"/>
      <c r="F40" s="7">
        <v>31.0</v>
      </c>
      <c r="G40" s="5" t="s">
        <v>30</v>
      </c>
      <c r="H40" s="10"/>
      <c r="I40" s="9" t="s">
        <v>12</v>
      </c>
    </row>
    <row r="41">
      <c r="A41" s="4">
        <f>IFERROR(__xludf.DUMMYFUNCTION("""COMPUTED_VALUE"""),39.0)</f>
        <v>39</v>
      </c>
      <c r="B41" s="5" t="str">
        <f>IFERROR(__xludf.DUMMYFUNCTION("TEXTJOIN("", "", true, filter('Paper Challenges Quotes'!D:D,'Paper Challenges Quotes'!F:F=D41))"),"9")</f>
        <v>9</v>
      </c>
      <c r="C41" s="4" t="str">
        <f>IFERROR(__xludf.DUMMYFUNCTION("""COMPUTED_VALUE"""),"devops concepts")</f>
        <v>devops concepts</v>
      </c>
      <c r="D41" s="4" t="str">
        <f>IFERROR(__xludf.DUMMYFUNCTION("""COMPUTED_VALUE"""),"teachers need to learn dev and opt activities")</f>
        <v>teachers need to learn dev and opt activities</v>
      </c>
      <c r="E41" s="6"/>
      <c r="F41" s="7">
        <v>31.0</v>
      </c>
      <c r="G41" s="5" t="s">
        <v>30</v>
      </c>
      <c r="H41" s="10"/>
      <c r="I41" s="9" t="s">
        <v>12</v>
      </c>
    </row>
    <row r="42">
      <c r="A42" s="4">
        <f>IFERROR(__xludf.DUMMYFUNCTION("""COMPUTED_VALUE"""),40.0)</f>
        <v>40</v>
      </c>
      <c r="B42" s="5" t="str">
        <f>IFERROR(__xludf.DUMMYFUNCTION("TEXTJOIN("", "", true, filter('Paper Challenges Quotes'!D:D,'Paper Challenges Quotes'!F:F=D42))"),"6")</f>
        <v>6</v>
      </c>
      <c r="C42" s="4" t="str">
        <f>IFERROR(__xludf.DUMMYFUNCTION("""COMPUTED_VALUE"""),"devops concepts")</f>
        <v>devops concepts</v>
      </c>
      <c r="D42" s="4" t="str">
        <f>IFERROR(__xludf.DUMMYFUNCTION("""COMPUTED_VALUE"""),"the main challenge was to find ways of emphasizing the Ops part of the approach.")</f>
        <v>the main challenge was to find ways of emphasizing the Ops part of the approach.</v>
      </c>
      <c r="E42" s="15"/>
      <c r="F42" s="7">
        <v>69.0</v>
      </c>
      <c r="G42" s="5" t="s">
        <v>31</v>
      </c>
      <c r="H42" s="11"/>
      <c r="I42" s="9" t="s">
        <v>12</v>
      </c>
    </row>
    <row r="43">
      <c r="A43" s="4">
        <f>IFERROR(__xludf.DUMMYFUNCTION("""COMPUTED_VALUE"""),41.0)</f>
        <v>41</v>
      </c>
      <c r="B43" s="5" t="str">
        <f>IFERROR(__xludf.DUMMYFUNCTION("TEXTJOIN("", "", true, filter('Paper Challenges Quotes'!D:D,'Paper Challenges Quotes'!F:F=D43))"),"14")</f>
        <v>14</v>
      </c>
      <c r="C43" s="4" t="str">
        <f>IFERROR(__xludf.DUMMYFUNCTION("""COMPUTED_VALUE"""),"devops concepts")</f>
        <v>devops concepts</v>
      </c>
      <c r="D43" s="4" t="str">
        <f>IFERROR(__xludf.DUMMYFUNCTION("""COMPUTED_VALUE"""),"The mutation testing pipeline is not perceived by students as useful")</f>
        <v>The mutation testing pipeline is not perceived by students as useful</v>
      </c>
      <c r="E43" s="7"/>
      <c r="F43" s="7"/>
      <c r="G43" s="5"/>
      <c r="H43" s="10"/>
      <c r="I43" s="9"/>
    </row>
    <row r="44">
      <c r="A44" s="4">
        <f>IFERROR(__xludf.DUMMYFUNCTION("""COMPUTED_VALUE"""),42.0)</f>
        <v>42</v>
      </c>
      <c r="B44" s="5" t="str">
        <f>IFERROR(__xludf.DUMMYFUNCTION("TEXTJOIN("", "", true, filter('Paper Challenges Quotes'!D:D,'Paper Challenges Quotes'!F:F=D44))"),"13")</f>
        <v>13</v>
      </c>
      <c r="C44" s="4" t="str">
        <f>IFERROR(__xludf.DUMMYFUNCTION("""COMPUTED_VALUE"""),"environment setup")</f>
        <v>environment setup</v>
      </c>
      <c r="D44" s="4" t="str">
        <f>IFERROR(__xludf.DUMMYFUNCTION("""COMPUTED_VALUE"""),"Creating a (semi) realistic environment for students to practice within is not trivial.")</f>
        <v>Creating a (semi) realistic environment for students to practice within is not trivial.</v>
      </c>
      <c r="E44" s="6"/>
      <c r="F44" s="7">
        <v>39.0</v>
      </c>
      <c r="G44" s="5" t="s">
        <v>32</v>
      </c>
      <c r="H44" s="10"/>
      <c r="I44" s="9" t="s">
        <v>12</v>
      </c>
    </row>
    <row r="45">
      <c r="A45" s="4">
        <f>IFERROR(__xludf.DUMMYFUNCTION("""COMPUTED_VALUE"""),43.0)</f>
        <v>43</v>
      </c>
      <c r="B45" s="5" t="str">
        <f>IFERROR(__xludf.DUMMYFUNCTION("TEXTJOIN("", "", true, filter('Paper Challenges Quotes'!D:D,'Paper Challenges Quotes'!F:F=D45))"),"1, 5")</f>
        <v>1, 5</v>
      </c>
      <c r="C45" s="4" t="str">
        <f>IFERROR(__xludf.DUMMYFUNCTION("""COMPUTED_VALUE"""),"environment setup")</f>
        <v>environment setup</v>
      </c>
      <c r="D45" s="4" t="str">
        <f>IFERROR(__xludf.DUMMYFUNCTION("""COMPUTED_VALUE"""),"initial setup is complicated")</f>
        <v>initial setup is complicated</v>
      </c>
      <c r="E45" s="6"/>
      <c r="F45" s="7">
        <v>2.0</v>
      </c>
      <c r="G45" s="5" t="s">
        <v>33</v>
      </c>
      <c r="H45" s="10"/>
      <c r="I45" s="9" t="s">
        <v>12</v>
      </c>
    </row>
    <row r="46">
      <c r="A46" s="4">
        <f>IFERROR(__xludf.DUMMYFUNCTION("""COMPUTED_VALUE"""),44.0)</f>
        <v>44</v>
      </c>
      <c r="B46" s="5" t="str">
        <f>IFERROR(__xludf.DUMMYFUNCTION("TEXTJOIN("", "", true, filter('Paper Challenges Quotes'!D:D,'Paper Challenges Quotes'!F:F=D46))"),"9, 13")</f>
        <v>9, 13</v>
      </c>
      <c r="C46" s="4" t="str">
        <f>IFERROR(__xludf.DUMMYFUNCTION("""COMPUTED_VALUE"""),"environment setup")</f>
        <v>environment setup</v>
      </c>
      <c r="D46" s="4" t="str">
        <f>IFERROR(__xludf.DUMMYFUNCTION("""COMPUTED_VALUE"""),"DevOps requires complex and laborious architectures.")</f>
        <v>DevOps requires complex and laborious architectures.</v>
      </c>
      <c r="E46" s="6"/>
      <c r="F46" s="7">
        <v>67.0</v>
      </c>
      <c r="G46" s="5" t="s">
        <v>34</v>
      </c>
      <c r="H46" s="10"/>
      <c r="I46" s="9" t="s">
        <v>12</v>
      </c>
    </row>
    <row r="47">
      <c r="A47" s="4">
        <f>IFERROR(__xludf.DUMMYFUNCTION("""COMPUTED_VALUE"""),45.0)</f>
        <v>45</v>
      </c>
      <c r="B47" s="5" t="str">
        <f>IFERROR(__xludf.DUMMYFUNCTION("TEXTJOIN("", "", true, filter('Paper Challenges Quotes'!D:D,'Paper Challenges Quotes'!F:F=D47))"),"9, 13")</f>
        <v>9, 13</v>
      </c>
      <c r="C47" s="4" t="str">
        <f>IFERROR(__xludf.DUMMYFUNCTION("""COMPUTED_VALUE"""),"environment setup")</f>
        <v>environment setup</v>
      </c>
      <c r="D47" s="4" t="str">
        <f>IFERROR(__xludf.DUMMYFUNCTION("""COMPUTED_VALUE"""),"virtualization environments are laborious and complex.")</f>
        <v>virtualization environments are laborious and complex.</v>
      </c>
      <c r="E47" s="6"/>
      <c r="F47" s="7">
        <v>68.0</v>
      </c>
      <c r="G47" s="5" t="s">
        <v>35</v>
      </c>
      <c r="H47" s="10"/>
      <c r="I47" s="9" t="s">
        <v>12</v>
      </c>
    </row>
    <row r="48">
      <c r="A48" s="4">
        <f>IFERROR(__xludf.DUMMYFUNCTION("""COMPUTED_VALUE"""),46.0)</f>
        <v>46</v>
      </c>
      <c r="B48" s="5" t="str">
        <f>IFERROR(__xludf.DUMMYFUNCTION("TEXTJOIN("", "", true, filter('Paper Challenges Quotes'!D:D,'Paper Challenges Quotes'!F:F=D48))"),"9")</f>
        <v>9</v>
      </c>
      <c r="C48" s="4" t="str">
        <f>IFERROR(__xludf.DUMMYFUNCTION("""COMPUTED_VALUE"""),"environment setup")</f>
        <v>environment setup</v>
      </c>
      <c r="D48" s="4" t="str">
        <f>IFERROR(__xludf.DUMMYFUNCTION("""COMPUTED_VALUE"""),"maintaining the virtual environment increase costs")</f>
        <v>maintaining the virtual environment increase costs</v>
      </c>
      <c r="E48" s="6"/>
      <c r="F48" s="7">
        <v>53.0</v>
      </c>
      <c r="G48" s="5" t="s">
        <v>36</v>
      </c>
      <c r="H48" s="10"/>
      <c r="I48" s="9" t="s">
        <v>10</v>
      </c>
    </row>
    <row r="49">
      <c r="A49" s="4">
        <f>IFERROR(__xludf.DUMMYFUNCTION("""COMPUTED_VALUE"""),47.0)</f>
        <v>47</v>
      </c>
      <c r="B49" s="5" t="str">
        <f>IFERROR(__xludf.DUMMYFUNCTION("TEXTJOIN("", "", true, filter('Paper Challenges Quotes'!D:D,'Paper Challenges Quotes'!F:F=D49))"),"9, 11")</f>
        <v>9, 11</v>
      </c>
      <c r="C49" s="4" t="str">
        <f>IFERROR(__xludf.DUMMYFUNCTION("""COMPUTED_VALUE"""),"environment setup")</f>
        <v>environment setup</v>
      </c>
      <c r="D49" s="4" t="str">
        <f>IFERROR(__xludf.DUMMYFUNCTION("""COMPUTED_VALUE"""),"setup the tools and workflows increases the effort for educators.")</f>
        <v>setup the tools and workflows increases the effort for educators.</v>
      </c>
      <c r="E49" s="6"/>
      <c r="F49" s="7">
        <v>43.0</v>
      </c>
      <c r="G49" s="5" t="s">
        <v>18</v>
      </c>
      <c r="H49" s="10"/>
      <c r="I49" s="9" t="s">
        <v>12</v>
      </c>
    </row>
    <row r="50">
      <c r="A50" s="4">
        <f>IFERROR(__xludf.DUMMYFUNCTION("""COMPUTED_VALUE"""),48.0)</f>
        <v>48</v>
      </c>
      <c r="B50" s="5" t="str">
        <f>IFERROR(__xludf.DUMMYFUNCTION("TEXTJOIN("", "", true, filter('Paper Challenges Quotes'!D:D,'Paper Challenges Quotes'!F:F=D50))"),"5")</f>
        <v>5</v>
      </c>
      <c r="C50" s="4" t="str">
        <f>IFERROR(__xludf.DUMMYFUNCTION("""COMPUTED_VALUE"""),"environment setup")</f>
        <v>environment setup</v>
      </c>
      <c r="D50" s="4" t="str">
        <f>IFERROR(__xludf.DUMMYFUNCTION("""COMPUTED_VALUE"""),"contraints problems with cloud service and institutional security policies.")</f>
        <v>contraints problems with cloud service and institutional security policies.</v>
      </c>
      <c r="E50" s="6"/>
      <c r="F50" s="7" t="s">
        <v>37</v>
      </c>
      <c r="G50" s="5" t="s">
        <v>38</v>
      </c>
      <c r="H50" s="10"/>
      <c r="I50" s="9" t="s">
        <v>12</v>
      </c>
    </row>
    <row r="51">
      <c r="A51" s="4">
        <f>IFERROR(__xludf.DUMMYFUNCTION("""COMPUTED_VALUE"""),49.0)</f>
        <v>49</v>
      </c>
      <c r="B51" s="5" t="str">
        <f>IFERROR(__xludf.DUMMYFUNCTION("TEXTJOIN("", "", true, filter('Paper Challenges Quotes'!D:D,'Paper Challenges Quotes'!F:F=D51))"),"4")</f>
        <v>4</v>
      </c>
      <c r="C51" s="4" t="str">
        <f>IFERROR(__xludf.DUMMYFUNCTION("""COMPUTED_VALUE"""),"pedagogy")</f>
        <v>pedagogy</v>
      </c>
      <c r="D51" s="4" t="str">
        <f>IFERROR(__xludf.DUMMYFUNCTION("""COMPUTED_VALUE"""),"hard time to get into the project’s subject")</f>
        <v>hard time to get into the project’s subject</v>
      </c>
      <c r="E51" s="7"/>
      <c r="F51" s="7"/>
      <c r="G51" s="5"/>
      <c r="H51" s="10"/>
      <c r="I51" s="9"/>
    </row>
    <row r="52">
      <c r="A52" s="4">
        <f>IFERROR(__xludf.DUMMYFUNCTION("""COMPUTED_VALUE"""),50.0)</f>
        <v>50</v>
      </c>
      <c r="B52" s="5" t="str">
        <f>IFERROR(__xludf.DUMMYFUNCTION("TEXTJOIN("", "", true, filter('Paper Challenges Quotes'!D:D,'Paper Challenges Quotes'!F:F=D52))"),"4")</f>
        <v>4</v>
      </c>
      <c r="C52" s="4" t="str">
        <f>IFERROR(__xludf.DUMMYFUNCTION("""COMPUTED_VALUE"""),"pedagogy")</f>
        <v>pedagogy</v>
      </c>
      <c r="D52" s="4" t="str">
        <f>IFERROR(__xludf.DUMMYFUNCTION("""COMPUTED_VALUE"""),"very hard work to get the project done")</f>
        <v>very hard work to get the project done</v>
      </c>
      <c r="E52" s="7"/>
      <c r="F52" s="7"/>
      <c r="G52" s="5"/>
      <c r="H52" s="10"/>
      <c r="I52" s="9"/>
    </row>
    <row r="53">
      <c r="A53" s="4">
        <f>IFERROR(__xludf.DUMMYFUNCTION("""COMPUTED_VALUE"""),51.0)</f>
        <v>51</v>
      </c>
      <c r="B53" s="5" t="str">
        <f>IFERROR(__xludf.DUMMYFUNCTION("TEXTJOIN("", "", true, filter('Paper Challenges Quotes'!D:D,'Paper Challenges Quotes'!F:F=D53))"),"6")</f>
        <v>6</v>
      </c>
      <c r="C53" s="4" t="str">
        <f>IFERROR(__xludf.DUMMYFUNCTION("""COMPUTED_VALUE"""),"pedagogy")</f>
        <v>pedagogy</v>
      </c>
      <c r="D53" s="4" t="str">
        <f>IFERROR(__xludf.DUMMYFUNCTION("""COMPUTED_VALUE"""),"The difficulty is to find realistic enough projects that students can still handle.")</f>
        <v>The difficulty is to find realistic enough projects that students can still handle.</v>
      </c>
      <c r="E53" s="6"/>
      <c r="F53" s="7">
        <v>39.0</v>
      </c>
      <c r="G53" s="5" t="s">
        <v>32</v>
      </c>
      <c r="H53" s="10"/>
      <c r="I53" s="9" t="s">
        <v>12</v>
      </c>
    </row>
    <row r="54">
      <c r="A54" s="4">
        <f>IFERROR(__xludf.DUMMYFUNCTION("""COMPUTED_VALUE"""),52.0)</f>
        <v>52</v>
      </c>
      <c r="B54" s="5" t="str">
        <f>IFERROR(__xludf.DUMMYFUNCTION("TEXTJOIN("", "", true, filter('Paper Challenges Quotes'!D:D,'Paper Challenges Quotes'!F:F=D54))"),"17")</f>
        <v>17</v>
      </c>
      <c r="C54" s="4" t="str">
        <f>IFERROR(__xludf.DUMMYFUNCTION("""COMPUTED_VALUE"""),"pedagogy")</f>
        <v>pedagogy</v>
      </c>
      <c r="D54" s="4" t="str">
        <f>IFERROR(__xludf.DUMMYFUNCTION("""COMPUTED_VALUE"""),"it is difficult to work with real project")</f>
        <v>it is difficult to work with real project</v>
      </c>
      <c r="E54" s="7"/>
      <c r="F54" s="7"/>
      <c r="G54" s="5"/>
      <c r="H54" s="10"/>
      <c r="I54" s="9"/>
    </row>
    <row r="55">
      <c r="A55" s="4">
        <f>IFERROR(__xludf.DUMMYFUNCTION("""COMPUTED_VALUE"""),53.0)</f>
        <v>53</v>
      </c>
      <c r="B55" s="5" t="str">
        <f>IFERROR(__xludf.DUMMYFUNCTION("TEXTJOIN("", "", true, filter('Paper Challenges Quotes'!D:D,'Paper Challenges Quotes'!F:F=D55))"),"17")</f>
        <v>17</v>
      </c>
      <c r="C55" s="4" t="str">
        <f>IFERROR(__xludf.DUMMYFUNCTION("""COMPUTED_VALUE"""),"pedagogy")</f>
        <v>pedagogy</v>
      </c>
      <c r="D55" s="4" t="str">
        <f>IFERROR(__xludf.DUMMYFUNCTION("""COMPUTED_VALUE"""),"one fixed project for all students could be boring.")</f>
        <v>one fixed project for all students could be boring.</v>
      </c>
      <c r="E55" s="7"/>
      <c r="F55" s="7"/>
      <c r="G55" s="5"/>
      <c r="H55" s="10"/>
      <c r="I55" s="9"/>
    </row>
    <row r="56">
      <c r="A56" s="4">
        <f>IFERROR(__xludf.DUMMYFUNCTION("""COMPUTED_VALUE"""),54.0)</f>
        <v>54</v>
      </c>
      <c r="B56" s="5" t="str">
        <f>IFERROR(__xludf.DUMMYFUNCTION("TEXTJOIN("", "", true, filter('Paper Challenges Quotes'!D:D,'Paper Challenges Quotes'!F:F=D56))"),"18")</f>
        <v>18</v>
      </c>
      <c r="C56" s="4" t="str">
        <f>IFERROR(__xludf.DUMMYFUNCTION("""COMPUTED_VALUE"""),"pedagogy")</f>
        <v>pedagogy</v>
      </c>
      <c r="D56" s="4" t="str">
        <f>IFERROR(__xludf.DUMMYFUNCTION("""COMPUTED_VALUE"""),"difficult to see and control progress of the development of the project")</f>
        <v>difficult to see and control progress of the development of the project</v>
      </c>
      <c r="E56" s="7"/>
      <c r="F56" s="7">
        <v>73.0</v>
      </c>
      <c r="G56" s="5" t="s">
        <v>14</v>
      </c>
      <c r="H56" s="10"/>
      <c r="I56" s="9" t="s">
        <v>10</v>
      </c>
    </row>
    <row r="57">
      <c r="A57" s="4">
        <f>IFERROR(__xludf.DUMMYFUNCTION("""COMPUTED_VALUE"""),55.0)</f>
        <v>55</v>
      </c>
      <c r="B57" s="5" t="str">
        <f>IFERROR(__xludf.DUMMYFUNCTION("TEXTJOIN("", "", true, filter('Paper Challenges Quotes'!D:D,'Paper Challenges Quotes'!F:F=D57))"),"17")</f>
        <v>17</v>
      </c>
      <c r="C57" s="4" t="str">
        <f>IFERROR(__xludf.DUMMYFUNCTION("""COMPUTED_VALUE"""),"pedagogy")</f>
        <v>pedagogy</v>
      </c>
      <c r="D57" s="4" t="str">
        <f>IFERROR(__xludf.DUMMYFUNCTION("""COMPUTED_VALUE"""),"It is very challenging to fairly and timely evaluate and provide feedback to students with diversified projects and limited resources of lecturers and teaching assistants..")</f>
        <v>It is very challenging to fairly and timely evaluate and provide feedback to students with diversified projects and limited resources of lecturers and teaching assistants..</v>
      </c>
      <c r="E57" s="6"/>
      <c r="F57" s="7">
        <v>83.0</v>
      </c>
      <c r="G57" s="5" t="s">
        <v>39</v>
      </c>
      <c r="H57" s="10"/>
      <c r="I57" s="9" t="s">
        <v>12</v>
      </c>
    </row>
    <row r="58">
      <c r="A58" s="4">
        <f>IFERROR(__xludf.DUMMYFUNCTION("""COMPUTED_VALUE"""),56.0)</f>
        <v>56</v>
      </c>
      <c r="B58" s="5" t="str">
        <f>IFERROR(__xludf.DUMMYFUNCTION("TEXTJOIN("", "", true, filter('Paper Challenges Quotes'!D:D,'Paper Challenges Quotes'!F:F=D58))"),"15")</f>
        <v>15</v>
      </c>
      <c r="C58" s="4" t="str">
        <f>IFERROR(__xludf.DUMMYFUNCTION("""COMPUTED_VALUE"""),"pedagogy")</f>
        <v>pedagogy</v>
      </c>
      <c r="D58" s="4" t="str">
        <f>IFERROR(__xludf.DUMMYFUNCTION("""COMPUTED_VALUE"""),"Differences between academia and industry education: Learners initial state, Learners attitude, Pace of education, Expectation")</f>
        <v>Differences between academia and industry education: Learners initial state, Learners attitude, Pace of education, Expectation</v>
      </c>
      <c r="E58" s="6"/>
      <c r="F58" s="7">
        <v>81.0</v>
      </c>
      <c r="G58" s="5" t="s">
        <v>40</v>
      </c>
      <c r="H58" s="10"/>
      <c r="I58" s="9" t="s">
        <v>12</v>
      </c>
    </row>
    <row r="59">
      <c r="A59" s="4">
        <f>IFERROR(__xludf.DUMMYFUNCTION("""COMPUTED_VALUE"""),57.0)</f>
        <v>57</v>
      </c>
      <c r="B59" s="5" t="str">
        <f>IFERROR(__xludf.DUMMYFUNCTION("TEXTJOIN("", "", true, filter('Paper Challenges Quotes'!D:D,'Paper Challenges Quotes'!F:F=D59))"),"9")</f>
        <v>9</v>
      </c>
      <c r="C59" s="4" t="str">
        <f>IFERROR(__xludf.DUMMYFUNCTION("""COMPUTED_VALUE"""),"pedagogy")</f>
        <v>pedagogy</v>
      </c>
      <c r="D59" s="4" t="str">
        <f>IFERROR(__xludf.DUMMYFUNCTION("""COMPUTED_VALUE"""),"Better bridges between education and work are thus needed.")</f>
        <v>Better bridges between education and work are thus needed.</v>
      </c>
      <c r="E59" s="6"/>
      <c r="F59" s="7">
        <v>81.0</v>
      </c>
      <c r="G59" s="5" t="s">
        <v>40</v>
      </c>
      <c r="H59" s="10"/>
      <c r="I59" s="9" t="s">
        <v>12</v>
      </c>
    </row>
    <row r="60">
      <c r="A60" s="4">
        <f>IFERROR(__xludf.DUMMYFUNCTION("""COMPUTED_VALUE"""),58.0)</f>
        <v>58</v>
      </c>
      <c r="B60" s="5" t="str">
        <f>IFERROR(__xludf.DUMMYFUNCTION("TEXTJOIN("", "", true, filter('Paper Challenges Quotes'!D:D,'Paper Challenges Quotes'!F:F=D60))"),"14")</f>
        <v>14</v>
      </c>
      <c r="C60" s="4" t="str">
        <f>IFERROR(__xludf.DUMMYFUNCTION("""COMPUTED_VALUE"""),"pedagogy")</f>
        <v>pedagogy</v>
      </c>
      <c r="D60" s="4" t="str">
        <f>IFERROR(__xludf.DUMMYFUNCTION("""COMPUTED_VALUE"""),"toy examples are not enough to understand the subject")</f>
        <v>toy examples are not enough to understand the subject</v>
      </c>
      <c r="E60" s="6"/>
      <c r="F60" s="7">
        <v>34.0</v>
      </c>
      <c r="G60" s="5" t="s">
        <v>41</v>
      </c>
      <c r="H60" s="10"/>
      <c r="I60" s="9" t="s">
        <v>12</v>
      </c>
    </row>
    <row r="61">
      <c r="A61" s="4">
        <f>IFERROR(__xludf.DUMMYFUNCTION("""COMPUTED_VALUE"""),59.0)</f>
        <v>59</v>
      </c>
      <c r="B61" s="5" t="str">
        <f>IFERROR(__xludf.DUMMYFUNCTION("TEXTJOIN("", "", true, filter('Paper Challenges Quotes'!D:D,'Paper Challenges Quotes'!F:F=D61))"),"4")</f>
        <v>4</v>
      </c>
      <c r="C61" s="4" t="str">
        <f>IFERROR(__xludf.DUMMYFUNCTION("""COMPUTED_VALUE"""),"pedagogy")</f>
        <v>pedagogy</v>
      </c>
      <c r="D61" s="4" t="str">
        <f>IFERROR(__xludf.DUMMYFUNCTION("""COMPUTED_VALUE"""),"unbalance between practical and theoretical work")</f>
        <v>unbalance between practical and theoretical work</v>
      </c>
      <c r="E61" s="6"/>
      <c r="F61" s="7">
        <v>35.0</v>
      </c>
      <c r="G61" s="5" t="s">
        <v>28</v>
      </c>
      <c r="H61" s="10"/>
      <c r="I61" s="9" t="s">
        <v>12</v>
      </c>
    </row>
    <row r="62">
      <c r="A62" s="4">
        <f>IFERROR(__xludf.DUMMYFUNCTION("""COMPUTED_VALUE"""),60.0)</f>
        <v>60</v>
      </c>
      <c r="B62" s="5" t="str">
        <f>IFERROR(__xludf.DUMMYFUNCTION("TEXTJOIN("", "", true, filter('Paper Challenges Quotes'!D:D,'Paper Challenges Quotes'!F:F=D62))"),"5")</f>
        <v>5</v>
      </c>
      <c r="C62" s="4" t="str">
        <f>IFERROR(__xludf.DUMMYFUNCTION("""COMPUTED_VALUE"""),"pedagogy")</f>
        <v>pedagogy</v>
      </c>
      <c r="D62" s="4" t="str">
        <f>IFERROR(__xludf.DUMMYFUNCTION("""COMPUTED_VALUE"""),"It was taught in accelerated mode and lacked the depth necessary for a clear understanding of the technologies.")</f>
        <v>It was taught in accelerated mode and lacked the depth necessary for a clear understanding of the technologies.</v>
      </c>
      <c r="E62" s="6"/>
      <c r="F62" s="7" t="s">
        <v>42</v>
      </c>
      <c r="G62" s="5" t="s">
        <v>43</v>
      </c>
      <c r="H62" s="10"/>
      <c r="I62" s="9" t="s">
        <v>12</v>
      </c>
    </row>
    <row r="63">
      <c r="A63" s="4">
        <f>IFERROR(__xludf.DUMMYFUNCTION("""COMPUTED_VALUE"""),61.0)</f>
        <v>61</v>
      </c>
      <c r="B63" s="5" t="str">
        <f>IFERROR(__xludf.DUMMYFUNCTION("TEXTJOIN("", "", true, filter('Paper Challenges Quotes'!D:D,'Paper Challenges Quotes'!F:F=D63))"),"15")</f>
        <v>15</v>
      </c>
      <c r="C63" s="4" t="str">
        <f>IFERROR(__xludf.DUMMYFUNCTION("""COMPUTED_VALUE"""),"pedagogy")</f>
        <v>pedagogy</v>
      </c>
      <c r="D63" s="4" t="str">
        <f>IFERROR(__xludf.DUMMYFUNCTION("""COMPUTED_VALUE"""),"how to set up the DevOps approach itself from scratch.")</f>
        <v>how to set up the DevOps approach itself from scratch.</v>
      </c>
      <c r="E63" s="7"/>
      <c r="F63" s="7"/>
      <c r="G63" s="5"/>
      <c r="H63" s="10"/>
      <c r="I63" s="9"/>
    </row>
    <row r="64">
      <c r="A64" s="4">
        <f>IFERROR(__xludf.DUMMYFUNCTION("""COMPUTED_VALUE"""),62.0)</f>
        <v>62</v>
      </c>
      <c r="B64" s="5" t="str">
        <f>IFERROR(__xludf.DUMMYFUNCTION("TEXTJOIN("", "", true, filter('Paper Challenges Quotes'!D:D,'Paper Challenges Quotes'!F:F=D64))"),"4")</f>
        <v>4</v>
      </c>
      <c r="C64" s="4" t="str">
        <f>IFERROR(__xludf.DUMMYFUNCTION("""COMPUTED_VALUE"""),"pedagogy")</f>
        <v>pedagogy</v>
      </c>
      <c r="D64" s="4" t="str">
        <f>IFERROR(__xludf.DUMMYFUNCTION("""COMPUTED_VALUE"""),"students not motivated.")</f>
        <v>students not motivated.</v>
      </c>
      <c r="E64" s="6"/>
      <c r="F64" s="7">
        <v>66.0</v>
      </c>
      <c r="G64" s="5" t="s">
        <v>44</v>
      </c>
      <c r="H64" s="10"/>
      <c r="I64" s="9" t="s">
        <v>12</v>
      </c>
    </row>
    <row r="65">
      <c r="A65" s="4">
        <f>IFERROR(__xludf.DUMMYFUNCTION("""COMPUTED_VALUE"""),63.0)</f>
        <v>63</v>
      </c>
      <c r="B65" s="5" t="str">
        <f>IFERROR(__xludf.DUMMYFUNCTION("TEXTJOIN("", "", true, filter('Paper Challenges Quotes'!D:D,'Paper Challenges Quotes'!F:F=D65))"),"6")</f>
        <v>6</v>
      </c>
      <c r="C65" s="4" t="str">
        <f>IFERROR(__xludf.DUMMYFUNCTION("""COMPUTED_VALUE"""),"pedagogy")</f>
        <v>pedagogy</v>
      </c>
      <c r="D65" s="4" t="str">
        <f>IFERROR(__xludf.DUMMYFUNCTION("""COMPUTED_VALUE"""),"Students’ motivation is crucial for a successful DevOps course")</f>
        <v>Students’ motivation is crucial for a successful DevOps course</v>
      </c>
      <c r="E65" s="6"/>
      <c r="F65" s="7">
        <v>66.0</v>
      </c>
      <c r="G65" s="5" t="s">
        <v>44</v>
      </c>
      <c r="H65" s="10"/>
      <c r="I65" s="9" t="s">
        <v>12</v>
      </c>
    </row>
    <row r="66">
      <c r="A66" s="4">
        <f>IFERROR(__xludf.DUMMYFUNCTION("""COMPUTED_VALUE"""),64.0)</f>
        <v>64</v>
      </c>
      <c r="B66" s="5" t="str">
        <f>IFERROR(__xludf.DUMMYFUNCTION("TEXTJOIN("", "", true, filter('Paper Challenges Quotes'!D:D,'Paper Challenges Quotes'!F:F=D66))"),"10, 1")</f>
        <v>10, 1</v>
      </c>
      <c r="C66" s="4" t="str">
        <f>IFERROR(__xludf.DUMMYFUNCTION("""COMPUTED_VALUE"""),"tools")</f>
        <v>tools</v>
      </c>
      <c r="D66" s="4" t="str">
        <f>IFERROR(__xludf.DUMMYFUNCTION("""COMPUTED_VALUE"""),"DevOps tools are complex.")</f>
        <v>DevOps tools are complex.</v>
      </c>
      <c r="E66" s="6"/>
      <c r="F66" s="7">
        <v>22.0</v>
      </c>
      <c r="G66" s="5" t="s">
        <v>45</v>
      </c>
      <c r="H66" s="10"/>
      <c r="I66" s="9" t="s">
        <v>10</v>
      </c>
    </row>
    <row r="67">
      <c r="A67" s="4">
        <f>IFERROR(__xludf.DUMMYFUNCTION("""COMPUTED_VALUE"""),65.0)</f>
        <v>65</v>
      </c>
      <c r="B67" s="5" t="str">
        <f>IFERROR(__xludf.DUMMYFUNCTION("TEXTJOIN("", "", true, filter('Paper Challenges Quotes'!D:D,'Paper Challenges Quotes'!F:F=D67))"),"1, 7")</f>
        <v>1, 7</v>
      </c>
      <c r="C67" s="4" t="str">
        <f>IFERROR(__xludf.DUMMYFUNCTION("""COMPUTED_VALUE"""),"tools")</f>
        <v>tools</v>
      </c>
      <c r="D67" s="4" t="str">
        <f>IFERROR(__xludf.DUMMYFUNCTION("""COMPUTED_VALUE"""),"Many DevOps tools for teacher to learn.")</f>
        <v>Many DevOps tools for teacher to learn.</v>
      </c>
      <c r="E67" s="6"/>
      <c r="F67" s="7">
        <v>22.0</v>
      </c>
      <c r="G67" s="5" t="s">
        <v>45</v>
      </c>
      <c r="H67" s="10"/>
      <c r="I67" s="9" t="s">
        <v>12</v>
      </c>
    </row>
    <row r="68">
      <c r="A68" s="4">
        <f>IFERROR(__xludf.DUMMYFUNCTION("""COMPUTED_VALUE"""),66.0)</f>
        <v>66</v>
      </c>
      <c r="B68" s="5" t="str">
        <f>IFERROR(__xludf.DUMMYFUNCTION("TEXTJOIN("", "", true, filter('Paper Challenges Quotes'!D:D,'Paper Challenges Quotes'!F:F=D68))"),"9")</f>
        <v>9</v>
      </c>
      <c r="C68" s="4" t="str">
        <f>IFERROR(__xludf.DUMMYFUNCTION("""COMPUTED_VALUE"""),"tools")</f>
        <v>tools</v>
      </c>
      <c r="D68" s="4" t="str">
        <f>IFERROR(__xludf.DUMMYFUNCTION("""COMPUTED_VALUE"""),"DevOps tools are new and time-consuming for a universitary lecturer.")</f>
        <v>DevOps tools are new and time-consuming for a universitary lecturer.</v>
      </c>
      <c r="E68" s="6"/>
      <c r="F68" s="7">
        <v>41.0</v>
      </c>
      <c r="G68" s="5" t="s">
        <v>29</v>
      </c>
      <c r="H68" s="10"/>
      <c r="I68" s="9" t="s">
        <v>12</v>
      </c>
    </row>
    <row r="69">
      <c r="A69" s="4">
        <f>IFERROR(__xludf.DUMMYFUNCTION("""COMPUTED_VALUE"""),67.0)</f>
        <v>67</v>
      </c>
      <c r="B69" s="5" t="str">
        <f>IFERROR(__xludf.DUMMYFUNCTION("TEXTJOIN("", "", true, filter('Paper Challenges Quotes'!D:D,'Paper Challenges Quotes'!F:F=D69))"),"1")</f>
        <v>1</v>
      </c>
      <c r="C69" s="4" t="str">
        <f>IFERROR(__xludf.DUMMYFUNCTION("""COMPUTED_VALUE"""),"tools")</f>
        <v>tools</v>
      </c>
      <c r="D69" s="4" t="str">
        <f>IFERROR(__xludf.DUMMYFUNCTION("""COMPUTED_VALUE"""),"some devops tools involve learning curve.")</f>
        <v>some devops tools involve learning curve.</v>
      </c>
      <c r="E69" s="7"/>
      <c r="F69" s="7"/>
      <c r="G69" s="5"/>
      <c r="H69" s="10"/>
      <c r="I69" s="9"/>
    </row>
    <row r="70">
      <c r="A70" s="4">
        <f>IFERROR(__xludf.DUMMYFUNCTION("""COMPUTED_VALUE"""),68.0)</f>
        <v>68</v>
      </c>
      <c r="B70" s="5" t="str">
        <f>IFERROR(__xludf.DUMMYFUNCTION("TEXTJOIN("", "", true, filter('Paper Challenges Quotes'!D:D,'Paper Challenges Quotes'!F:F=D70))"),"9, 13")</f>
        <v>9, 13</v>
      </c>
      <c r="C70" s="4" t="str">
        <f>IFERROR(__xludf.DUMMYFUNCTION("""COMPUTED_VALUE"""),"tools")</f>
        <v>tools</v>
      </c>
      <c r="D70" s="4" t="str">
        <f>IFERROR(__xludf.DUMMYFUNCTION("""COMPUTED_VALUE"""),"DevOps overhead of keeping up with the industrial state-of-the-art at universities is often too high.")</f>
        <v>DevOps overhead of keeping up with the industrial state-of-the-art at universities is often too high.</v>
      </c>
      <c r="E70" s="6"/>
      <c r="F70" s="7">
        <v>41.0</v>
      </c>
      <c r="G70" s="5" t="s">
        <v>29</v>
      </c>
      <c r="H70" s="10"/>
      <c r="I70" s="9" t="s">
        <v>12</v>
      </c>
    </row>
    <row r="71">
      <c r="A71" s="4">
        <f>IFERROR(__xludf.DUMMYFUNCTION("""COMPUTED_VALUE"""),69.0)</f>
        <v>69</v>
      </c>
      <c r="B71" s="5" t="str">
        <f>IFERROR(__xludf.DUMMYFUNCTION("TEXTJOIN("", "", true, filter('Paper Challenges Quotes'!D:D,'Paper Challenges Quotes'!F:F=D71))"),"8")</f>
        <v>8</v>
      </c>
      <c r="C71" s="4" t="str">
        <f>IFERROR(__xludf.DUMMYFUNCTION("""COMPUTED_VALUE"""),"tools")</f>
        <v>tools</v>
      </c>
      <c r="D71" s="4" t="str">
        <f>IFERROR(__xludf.DUMMYFUNCTION("""COMPUTED_VALUE"""),"Avoid focusing only on tools.")</f>
        <v>Avoid focusing only on tools.</v>
      </c>
      <c r="E71" s="6"/>
      <c r="F71" s="7">
        <v>26.0</v>
      </c>
      <c r="G71" s="5" t="s">
        <v>46</v>
      </c>
      <c r="H71" s="10"/>
      <c r="I71" s="9" t="s">
        <v>12</v>
      </c>
    </row>
    <row r="72">
      <c r="A72" s="4">
        <f>IFERROR(__xludf.DUMMYFUNCTION("""COMPUTED_VALUE"""),70.0)</f>
        <v>70</v>
      </c>
      <c r="B72" s="5" t="str">
        <f>IFERROR(__xludf.DUMMYFUNCTION("TEXTJOIN("", "", true, filter('Paper Challenges Quotes'!D:D,'Paper Challenges Quotes'!F:F=D72))"),"10")</f>
        <v>10</v>
      </c>
      <c r="C72" s="4" t="str">
        <f>IFERROR(__xludf.DUMMYFUNCTION("""COMPUTED_VALUE"""),"tools")</f>
        <v>tools</v>
      </c>
      <c r="D72" s="4" t="str">
        <f>IFERROR(__xludf.DUMMYFUNCTION("""COMPUTED_VALUE"""),"high computing power need can lead to resource-induced problems for computers of students.")</f>
        <v>high computing power need can lead to resource-induced problems for computers of students.</v>
      </c>
      <c r="E72" s="6"/>
      <c r="F72" s="7">
        <v>3.0</v>
      </c>
      <c r="G72" s="5" t="s">
        <v>47</v>
      </c>
      <c r="H72" s="10"/>
      <c r="I72" s="9" t="s">
        <v>12</v>
      </c>
    </row>
    <row r="73">
      <c r="A73" s="4">
        <f>IFERROR(__xludf.DUMMYFUNCTION("""COMPUTED_VALUE"""),71.0)</f>
        <v>71</v>
      </c>
      <c r="B73" s="5" t="str">
        <f>IFERROR(__xludf.DUMMYFUNCTION("TEXTJOIN("", "", true, filter('Paper Challenges Quotes'!D:D,'Paper Challenges Quotes'!F:F=D73))"),"12")</f>
        <v>12</v>
      </c>
      <c r="C73" s="4" t="str">
        <f>IFERROR(__xludf.DUMMYFUNCTION("""COMPUTED_VALUE"""),"tools")</f>
        <v>tools</v>
      </c>
      <c r="D73" s="4" t="str">
        <f>IFERROR(__xludf.DUMMYFUNCTION("""COMPUTED_VALUE"""),"specific learning tool does not detect all problems.")</f>
        <v>specific learning tool does not detect all problems.</v>
      </c>
      <c r="E73" s="6"/>
      <c r="F73" s="7">
        <v>7.0</v>
      </c>
      <c r="G73" s="5" t="s">
        <v>48</v>
      </c>
      <c r="H73" s="10"/>
      <c r="I73" s="9" t="s">
        <v>12</v>
      </c>
    </row>
    <row r="74">
      <c r="A74" s="4">
        <f>IFERROR(__xludf.DUMMYFUNCTION("""COMPUTED_VALUE"""),72.0)</f>
        <v>72</v>
      </c>
      <c r="B74" s="5" t="str">
        <f>IFERROR(__xludf.DUMMYFUNCTION("TEXTJOIN("", "", true, filter('Paper Challenges Quotes'!D:D,'Paper Challenges Quotes'!F:F=D74))"),"1")</f>
        <v>1</v>
      </c>
      <c r="C74" s="4" t="str">
        <f>IFERROR(__xludf.DUMMYFUNCTION("""COMPUTED_VALUE"""),"tools")</f>
        <v>tools</v>
      </c>
      <c r="D74" s="4" t="str">
        <f>IFERROR(__xludf.DUMMYFUNCTION("""COMPUTED_VALUE"""),"Git tool should be a prerequisite.")</f>
        <v>Git tool should be a prerequisite.</v>
      </c>
      <c r="E74" s="6"/>
      <c r="F74" s="7">
        <v>1.0</v>
      </c>
      <c r="G74" s="5" t="s">
        <v>13</v>
      </c>
      <c r="H74" s="10"/>
      <c r="I74" s="9" t="s">
        <v>12</v>
      </c>
    </row>
    <row r="75">
      <c r="A75" s="4">
        <f>IFERROR(__xludf.DUMMYFUNCTION("""COMPUTED_VALUE"""),73.0)</f>
        <v>73</v>
      </c>
      <c r="B75" s="5" t="str">
        <f>IFERROR(__xludf.DUMMYFUNCTION("TEXTJOIN("", "", true, filter('Paper Challenges Quotes'!D:D,'Paper Challenges Quotes'!F:F=D75))"),"1")</f>
        <v>1</v>
      </c>
      <c r="C75" s="4" t="str">
        <f>IFERROR(__xludf.DUMMYFUNCTION("""COMPUTED_VALUE"""),"tools")</f>
        <v>tools</v>
      </c>
      <c r="D75" s="4" t="str">
        <f>IFERROR(__xludf.DUMMYFUNCTION("""COMPUTED_VALUE"""),"Static analysis tool lacks of failures when detect possible issues.")</f>
        <v>Static analysis tool lacks of failures when detect possible issues.</v>
      </c>
      <c r="E75" s="7"/>
      <c r="F75" s="7"/>
      <c r="G75" s="5"/>
      <c r="H75" s="10"/>
      <c r="I75" s="9"/>
    </row>
  </sheetData>
  <mergeCells count="2">
    <mergeCell ref="A1:D1"/>
    <mergeCell ref="F1:G1"/>
  </mergeCells>
  <dataValidations>
    <dataValidation type="list" allowBlank="1" sqref="I3 I5 I7 I13:I17 I19:I20 I23:I30 I32:I35 I37:I50 I53 I56:I62 I64:I68 I70:I74">
      <formula1>"yes,no"</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9.71"/>
    <col customWidth="1" min="2" max="2" width="8.71"/>
    <col customWidth="1" min="3" max="3" width="17.71"/>
    <col customWidth="1" min="4" max="4" width="58.71"/>
    <col customWidth="1" min="5" max="5" width="7.14"/>
    <col customWidth="1" min="6" max="6" width="23.29"/>
    <col customWidth="1" min="7" max="7" width="53.43"/>
    <col customWidth="1" min="8" max="8" width="7.14"/>
    <col customWidth="1" min="9" max="9" width="14.71"/>
  </cols>
  <sheetData>
    <row r="1">
      <c r="A1" s="16" t="s">
        <v>0</v>
      </c>
      <c r="E1" s="17"/>
      <c r="F1" s="18" t="s">
        <v>49</v>
      </c>
      <c r="H1" s="3"/>
      <c r="I1" s="3"/>
    </row>
    <row r="2">
      <c r="A2" s="19" t="s">
        <v>2</v>
      </c>
      <c r="B2" s="20" t="s">
        <v>3</v>
      </c>
      <c r="C2" s="19" t="s">
        <v>4</v>
      </c>
      <c r="D2" s="20" t="s">
        <v>50</v>
      </c>
      <c r="E2" s="17"/>
      <c r="F2" s="2" t="s">
        <v>51</v>
      </c>
      <c r="G2" s="3" t="s">
        <v>52</v>
      </c>
      <c r="H2" s="3"/>
      <c r="I2" s="3" t="s">
        <v>8</v>
      </c>
    </row>
    <row r="3">
      <c r="A3" s="4">
        <f>IFERROR(__xludf.DUMMYFUNCTION("filter('Paper Recommendations Quotes'!C2:C87,not(ISBLANK('Paper Recommendations Quotes'!C2:C87)))"),1.0)</f>
        <v>1</v>
      </c>
      <c r="B3" s="21" t="str">
        <f>IFERROR(__xludf.DUMMYFUNCTION("TEXTJOIN("", "", true, filter('Paper Recommendations Quotes'!D:D,'Paper Recommendations Quotes'!F:F=D3))"),"15")</f>
        <v>15</v>
      </c>
      <c r="C3" s="4" t="str">
        <f>IFERROR(__xludf.DUMMYFUNCTION("filter('Paper Recommendations Quotes'!E2:F87,not(ISBLANK('Paper Recommendations Quotes'!C2:C87)))"),"assessment")</f>
        <v>assessment</v>
      </c>
      <c r="D3" s="5" t="str">
        <f>IFERROR(__xludf.DUMMYFUNCTION("""COMPUTED_VALUE"""),"emphasising more the learning aspect and give less importance to the final exam, maybe increasing the relevance of practical assignments.")</f>
        <v>emphasising more the learning aspect and give less importance to the final exam, maybe increasing the relevance of practical assignments.</v>
      </c>
      <c r="E3" s="6"/>
      <c r="F3" s="6">
        <v>63.0</v>
      </c>
      <c r="G3" s="6" t="s">
        <v>53</v>
      </c>
      <c r="H3" s="22"/>
      <c r="I3" s="22" t="s">
        <v>12</v>
      </c>
    </row>
    <row r="4">
      <c r="A4" s="4">
        <f>IFERROR(__xludf.DUMMYFUNCTION("""COMPUTED_VALUE"""),2.0)</f>
        <v>2</v>
      </c>
      <c r="B4" s="21" t="str">
        <f>IFERROR(__xludf.DUMMYFUNCTION("TEXTJOIN("", "", true, filter('Paper Recommendations Quotes'!D:D,'Paper Recommendations Quotes'!F:F=D4))"),"2")</f>
        <v>2</v>
      </c>
      <c r="C4" s="4" t="str">
        <f>IFERROR(__xludf.DUMMYFUNCTION("""COMPUTED_VALUE"""),"assessment")</f>
        <v>assessment</v>
      </c>
      <c r="D4" s="4" t="str">
        <f>IFERROR(__xludf.DUMMYFUNCTION("""COMPUTED_VALUE"""),"The metrics are useful tools for process monitoring and assessment for beginners in a controlled course project context.")</f>
        <v>The metrics are useful tools for process monitoring and assessment for beginners in a controlled course project context.</v>
      </c>
      <c r="E4" s="6"/>
      <c r="F4" s="6"/>
      <c r="G4" s="6"/>
      <c r="H4" s="22"/>
      <c r="I4" s="22"/>
    </row>
    <row r="5">
      <c r="A5" s="4">
        <f>IFERROR(__xludf.DUMMYFUNCTION("""COMPUTED_VALUE"""),3.0)</f>
        <v>3</v>
      </c>
      <c r="B5" s="21" t="str">
        <f>IFERROR(__xludf.DUMMYFUNCTION("TEXTJOIN("", "", true, filter('Paper Recommendations Quotes'!D:D,'Paper Recommendations Quotes'!F:F=D5))"),"3")</f>
        <v>3</v>
      </c>
      <c r="C5" s="4" t="str">
        <f>IFERROR(__xludf.DUMMYFUNCTION("""COMPUTED_VALUE"""),"assessment")</f>
        <v>assessment</v>
      </c>
      <c r="D5" s="4" t="str">
        <f>IFERROR(__xludf.DUMMYFUNCTION("""COMPUTED_VALUE"""),"Our viable design choices for automated assessment: external test case deployment using container technology, validation through user interface input/output, service configuration through chained property files, and finally fine-grained inspection through"&amp;" a special logging mechanism.")</f>
        <v>Our viable design choices for automated assessment: external test case deployment using container technology, validation through user interface input/output, service configuration through chained property files, and finally fine-grained inspection through a special logging mechanism.</v>
      </c>
      <c r="E5" s="6"/>
      <c r="F5" s="6"/>
      <c r="G5" s="6"/>
      <c r="H5" s="22"/>
      <c r="I5" s="22"/>
    </row>
    <row r="6">
      <c r="A6" s="4">
        <f>IFERROR(__xludf.DUMMYFUNCTION("""COMPUTED_VALUE"""),4.0)</f>
        <v>4</v>
      </c>
      <c r="B6" s="21" t="str">
        <f>IFERROR(__xludf.DUMMYFUNCTION("TEXTJOIN("", "", true, filter('Paper Recommendations Quotes'!D:D,'Paper Recommendations Quotes'!F:F=D6))"),"13")</f>
        <v>13</v>
      </c>
      <c r="C6" s="4" t="str">
        <f>IFERROR(__xludf.DUMMYFUNCTION("""COMPUTED_VALUE"""),"assessment")</f>
        <v>assessment</v>
      </c>
      <c r="D6" s="4" t="str">
        <f>IFERROR(__xludf.DUMMYFUNCTION("""COMPUTED_VALUE"""),"We are working on automated prechecking of students’ submissions")</f>
        <v>We are working on automated prechecking of students’ submissions</v>
      </c>
      <c r="E6" s="6"/>
      <c r="F6" s="6"/>
      <c r="G6" s="6"/>
      <c r="H6" s="22"/>
      <c r="I6" s="22"/>
    </row>
    <row r="7">
      <c r="A7" s="4">
        <f>IFERROR(__xludf.DUMMYFUNCTION("""COMPUTED_VALUE"""),5.0)</f>
        <v>5</v>
      </c>
      <c r="B7" s="21" t="str">
        <f>IFERROR(__xludf.DUMMYFUNCTION("TEXTJOIN("", "", true, filter('Paper Recommendations Quotes'!D:D,'Paper Recommendations Quotes'!F:F=D7))"),"15")</f>
        <v>15</v>
      </c>
      <c r="C7" s="4" t="str">
        <f>IFERROR(__xludf.DUMMYFUNCTION("""COMPUTED_VALUE"""),"assessment")</f>
        <v>assessment</v>
      </c>
      <c r="D7" s="4" t="str">
        <f>IFERROR(__xludf.DUMMYFUNCTION("""COMPUTED_VALUE"""),"we need also to think to teach validation and verification techniques pushing more them at runtime to continuously assess the evolved system.")</f>
        <v>we need also to think to teach validation and verification techniques pushing more them at runtime to continuously assess the evolved system.</v>
      </c>
      <c r="E7" s="6"/>
      <c r="F7" s="6"/>
      <c r="G7" s="6"/>
      <c r="H7" s="22"/>
      <c r="I7" s="22"/>
    </row>
    <row r="8">
      <c r="A8" s="4">
        <f>IFERROR(__xludf.DUMMYFUNCTION("""COMPUTED_VALUE"""),6.0)</f>
        <v>6</v>
      </c>
      <c r="B8" s="21" t="str">
        <f>IFERROR(__xludf.DUMMYFUNCTION("TEXTJOIN("", "", true, filter('Paper Recommendations Quotes'!D:D,'Paper Recommendations Quotes'!F:F=D8))"),"16")</f>
        <v>16</v>
      </c>
      <c r="C8" s="4" t="str">
        <f>IFERROR(__xludf.DUMMYFUNCTION("""COMPUTED_VALUE"""),"classes preparation")</f>
        <v>classes preparation</v>
      </c>
      <c r="D8" s="5" t="str">
        <f>IFERROR(__xludf.DUMMYFUNCTION("""COMPUTED_VALUE"""),"We decided to develop of a questionnaire that would uncover some insights about the team.")</f>
        <v>We decided to develop of a questionnaire that would uncover some insights about the team.</v>
      </c>
      <c r="E8" s="6"/>
      <c r="F8" s="6"/>
      <c r="G8" s="6"/>
      <c r="H8" s="22"/>
      <c r="I8" s="22"/>
    </row>
    <row r="9">
      <c r="A9" s="4">
        <f>IFERROR(__xludf.DUMMYFUNCTION("""COMPUTED_VALUE"""),7.0)</f>
        <v>7</v>
      </c>
      <c r="B9" s="21" t="str">
        <f>IFERROR(__xludf.DUMMYFUNCTION("TEXTJOIN("", "", true, filter('Paper Recommendations Quotes'!D:D,'Paper Recommendations Quotes'!F:F=D9))"),"16")</f>
        <v>16</v>
      </c>
      <c r="C9" s="4" t="str">
        <f>IFERROR(__xludf.DUMMYFUNCTION("""COMPUTED_VALUE"""),"classes preparation")</f>
        <v>classes preparation</v>
      </c>
      <c r="D9" s="5" t="str">
        <f>IFERROR(__xludf.DUMMYFUNCTION("""COMPUTED_VALUE"""),"It is important to get in advance as much information as possible about the audience.")</f>
        <v>It is important to get in advance as much information as possible about the audience.</v>
      </c>
      <c r="E9" s="6"/>
      <c r="F9" s="6">
        <v>49.0</v>
      </c>
      <c r="G9" s="6" t="s">
        <v>54</v>
      </c>
      <c r="H9" s="22"/>
      <c r="I9" s="22" t="s">
        <v>12</v>
      </c>
    </row>
    <row r="10">
      <c r="A10" s="4">
        <f>IFERROR(__xludf.DUMMYFUNCTION("""COMPUTED_VALUE"""),8.0)</f>
        <v>8</v>
      </c>
      <c r="B10" s="21" t="str">
        <f>IFERROR(__xludf.DUMMYFUNCTION("TEXTJOIN("", "", true, filter('Paper Recommendations Quotes'!D:D,'Paper Recommendations Quotes'!F:F=D10))"),"16")</f>
        <v>16</v>
      </c>
      <c r="C10" s="4" t="str">
        <f>IFERROR(__xludf.DUMMYFUNCTION("""COMPUTED_VALUE"""),"classes preparation")</f>
        <v>classes preparation</v>
      </c>
      <c r="D10" s="4" t="str">
        <f>IFERROR(__xludf.DUMMYFUNCTION("""COMPUTED_VALUE"""),"Talking directly to the relevant people, possibly technical and on-site.")</f>
        <v>Talking directly to the relevant people, possibly technical and on-site.</v>
      </c>
      <c r="E10" s="6"/>
      <c r="F10" s="6">
        <v>144.0</v>
      </c>
      <c r="G10" s="6" t="s">
        <v>55</v>
      </c>
      <c r="H10" s="22"/>
      <c r="I10" s="22" t="s">
        <v>12</v>
      </c>
    </row>
    <row r="11">
      <c r="A11" s="4">
        <f>IFERROR(__xludf.DUMMYFUNCTION("""COMPUTED_VALUE"""),9.0)</f>
        <v>9</v>
      </c>
      <c r="B11" s="21" t="str">
        <f>IFERROR(__xludf.DUMMYFUNCTION("TEXTJOIN("", "", true, filter('Paper Recommendations Quotes'!D:D,'Paper Recommendations Quotes'!F:F=D11))"),"2")</f>
        <v>2</v>
      </c>
      <c r="C11" s="4" t="str">
        <f>IFERROR(__xludf.DUMMYFUNCTION("""COMPUTED_VALUE"""),"classes preparation")</f>
        <v>classes preparation</v>
      </c>
      <c r="D11" s="4" t="str">
        <f>IFERROR(__xludf.DUMMYFUNCTION("""COMPUTED_VALUE"""),"in-depth progress tracking and data analysis is useful to reveal interesting problems.")</f>
        <v>in-depth progress tracking and data analysis is useful to reveal interesting problems.</v>
      </c>
      <c r="E11" s="6"/>
      <c r="F11" s="6"/>
      <c r="G11" s="6"/>
      <c r="H11" s="22"/>
      <c r="I11" s="22"/>
    </row>
    <row r="12">
      <c r="A12" s="4">
        <f>IFERROR(__xludf.DUMMYFUNCTION("""COMPUTED_VALUE"""),10.0)</f>
        <v>10</v>
      </c>
      <c r="B12" s="21" t="str">
        <f>IFERROR(__xludf.DUMMYFUNCTION("TEXTJOIN("", "", true, filter('Paper Recommendations Quotes'!D:D,'Paper Recommendations Quotes'!F:F=D12))"),"4")</f>
        <v>4</v>
      </c>
      <c r="C12" s="4" t="str">
        <f>IFERROR(__xludf.DUMMYFUNCTION("""COMPUTED_VALUE"""),"classes preparation")</f>
        <v>classes preparation</v>
      </c>
      <c r="D12" s="4" t="str">
        <f>IFERROR(__xludf.DUMMYFUNCTION("""COMPUTED_VALUE"""),"the design of the course presented in the paper could be taken as reference")</f>
        <v>the design of the course presented in the paper could be taken as reference</v>
      </c>
      <c r="E12" s="6"/>
      <c r="F12" s="6">
        <v>111.0</v>
      </c>
      <c r="G12" s="6" t="s">
        <v>56</v>
      </c>
      <c r="H12" s="22"/>
      <c r="I12" s="22" t="s">
        <v>12</v>
      </c>
    </row>
    <row r="13">
      <c r="A13" s="4">
        <f>IFERROR(__xludf.DUMMYFUNCTION("""COMPUTED_VALUE"""),11.0)</f>
        <v>11</v>
      </c>
      <c r="B13" s="21" t="str">
        <f>IFERROR(__xludf.DUMMYFUNCTION("TEXTJOIN("", "", true, filter('Paper Recommendations Quotes'!D:D,'Paper Recommendations Quotes'!F:F=D13))"),"4")</f>
        <v>4</v>
      </c>
      <c r="C13" s="4" t="str">
        <f>IFERROR(__xludf.DUMMYFUNCTION("""COMPUTED_VALUE"""),"classes preparation")</f>
        <v>classes preparation</v>
      </c>
      <c r="D13" s="4" t="str">
        <f>IFERROR(__xludf.DUMMYFUNCTION("""COMPUTED_VALUE"""),"The use of the SWEBOK and Bloom’s taxonomy")</f>
        <v>The use of the SWEBOK and Bloom’s taxonomy</v>
      </c>
      <c r="E13" s="6"/>
      <c r="F13" s="6"/>
      <c r="G13" s="6"/>
      <c r="H13" s="22"/>
      <c r="I13" s="22"/>
    </row>
    <row r="14">
      <c r="A14" s="4">
        <f>IFERROR(__xludf.DUMMYFUNCTION("""COMPUTED_VALUE"""),12.0)</f>
        <v>12</v>
      </c>
      <c r="B14" s="21" t="str">
        <f>IFERROR(__xludf.DUMMYFUNCTION("TEXTJOIN("", "", true, filter('Paper Recommendations Quotes'!D:D,'Paper Recommendations Quotes'!F:F=D14))"),"4")</f>
        <v>4</v>
      </c>
      <c r="C14" s="4" t="str">
        <f>IFERROR(__xludf.DUMMYFUNCTION("""COMPUTED_VALUE"""),"classes preparation")</f>
        <v>classes preparation</v>
      </c>
      <c r="D14" s="4" t="str">
        <f>IFERROR(__xludf.DUMMYFUNCTION("""COMPUTED_VALUE"""),"the teaching staff reviewed the material of the initial theoretical lectures aimed at clarifying how concerns like product under development, software engineering environment, tools, and quality attributes were related to each other, and particularly, the"&amp;"ir role on the student’s projects. ")</f>
        <v>the teaching staff reviewed the material of the initial theoretical lectures aimed at clarifying how concerns like product under development, software engineering environment, tools, and quality attributes were related to each other, and particularly, their role on the student’s projects. </v>
      </c>
      <c r="E14" s="6"/>
      <c r="F14" s="6"/>
      <c r="G14" s="6"/>
      <c r="H14" s="22"/>
      <c r="I14" s="22"/>
    </row>
    <row r="15">
      <c r="A15" s="4">
        <f>IFERROR(__xludf.DUMMYFUNCTION("""COMPUTED_VALUE"""),13.0)</f>
        <v>13</v>
      </c>
      <c r="B15" s="21" t="str">
        <f>IFERROR(__xludf.DUMMYFUNCTION("TEXTJOIN("", "", true, filter('Paper Recommendations Quotes'!D:D,'Paper Recommendations Quotes'!F:F=D15))"),"15")</f>
        <v>15</v>
      </c>
      <c r="C15" s="4" t="str">
        <f>IFERROR(__xludf.DUMMYFUNCTION("""COMPUTED_VALUE"""),"curriculum")</f>
        <v>curriculum</v>
      </c>
      <c r="D15" s="5" t="str">
        <f>IFERROR(__xludf.DUMMYFUNCTION("""COMPUTED_VALUE"""),"build a Software Engineering curricula on the backbone derived from the DevOps philosophy.")</f>
        <v>build a Software Engineering curricula on the backbone derived from the DevOps philosophy.</v>
      </c>
      <c r="E15" s="6"/>
      <c r="F15" s="6">
        <v>151.0</v>
      </c>
      <c r="G15" s="6" t="s">
        <v>57</v>
      </c>
      <c r="H15" s="22"/>
      <c r="I15" s="22" t="s">
        <v>10</v>
      </c>
    </row>
    <row r="16">
      <c r="A16" s="4">
        <f>IFERROR(__xludf.DUMMYFUNCTION("""COMPUTED_VALUE"""),14.0)</f>
        <v>14</v>
      </c>
      <c r="B16" s="21" t="str">
        <f>IFERROR(__xludf.DUMMYFUNCTION("TEXTJOIN("", "", true, filter('Paper Recommendations Quotes'!D:D,'Paper Recommendations Quotes'!F:F=D16))"),"6")</f>
        <v>6</v>
      </c>
      <c r="C16" s="4" t="str">
        <f>IFERROR(__xludf.DUMMYFUNCTION("""COMPUTED_VALUE"""),"curriculum")</f>
        <v>curriculum</v>
      </c>
      <c r="D16" s="4" t="str">
        <f>IFERROR(__xludf.DUMMYFUNCTION("""COMPUTED_VALUE"""),"In an SE course, DevOps could be addressed through two forms: the first form is treating DevOps as a different kind of development. This form could happen early in the course, where almost no additional background is required. The second form emphasizes t"&amp;"he Ops part, which is not typically addressed by SE teachers. ")</f>
        <v>In an SE course, DevOps could be addressed through two forms: the first form is treating DevOps as a different kind of development. This form could happen early in the course, where almost no additional background is required. The second form emphasizes the Ops part, which is not typically addressed by SE teachers. </v>
      </c>
      <c r="E16" s="6"/>
      <c r="F16" s="6"/>
      <c r="G16" s="6"/>
      <c r="H16" s="22"/>
      <c r="I16" s="22"/>
    </row>
    <row r="17">
      <c r="A17" s="4">
        <f>IFERROR(__xludf.DUMMYFUNCTION("""COMPUTED_VALUE"""),15.0)</f>
        <v>15</v>
      </c>
      <c r="B17" s="21" t="str">
        <f>IFERROR(__xludf.DUMMYFUNCTION("TEXTJOIN("", "", true, filter('Paper Recommendations Quotes'!D:D,'Paper Recommendations Quotes'!F:F=D17))"),"15")</f>
        <v>15</v>
      </c>
      <c r="C17" s="4" t="str">
        <f>IFERROR(__xludf.DUMMYFUNCTION("""COMPUTED_VALUE"""),"curriculum")</f>
        <v>curriculum</v>
      </c>
      <c r="D17" s="21" t="str">
        <f>IFERROR(__xludf.DUMMYFUNCTION("""COMPUTED_VALUE"""),"It is therefore necessary establishing clear connections of every course with DevOps;")</f>
        <v>It is therefore necessary establishing clear connections of every course with DevOps;</v>
      </c>
      <c r="E17" s="6"/>
      <c r="F17" s="6"/>
      <c r="G17" s="6"/>
      <c r="H17" s="22"/>
      <c r="I17" s="22"/>
    </row>
    <row r="18">
      <c r="A18" s="12">
        <f>IFERROR(__xludf.DUMMYFUNCTION("""COMPUTED_VALUE"""),16.0)</f>
        <v>16</v>
      </c>
      <c r="B18" s="21" t="str">
        <f>IFERROR(__xludf.DUMMYFUNCTION("TEXTJOIN("", "", true, filter('Paper Recommendations Quotes'!D:D,'Paper Recommendations Quotes'!F:F=D18))"),"6")</f>
        <v>6</v>
      </c>
      <c r="C18" s="4" t="str">
        <f>IFERROR(__xludf.DUMMYFUNCTION("""COMPUTED_VALUE"""),"curriculum")</f>
        <v>curriculum</v>
      </c>
      <c r="D18" s="4" t="str">
        <f>IFERROR(__xludf.DUMMYFUNCTION("""COMPUTED_VALUE"""),"DevOps should be proper course in the curriculum. ")</f>
        <v>DevOps should be proper course in the curriculum. </v>
      </c>
      <c r="E18" s="6"/>
      <c r="F18" s="6">
        <v>16.0</v>
      </c>
      <c r="G18" s="6" t="s">
        <v>58</v>
      </c>
      <c r="H18" s="22"/>
      <c r="I18" s="22" t="s">
        <v>12</v>
      </c>
    </row>
    <row r="19">
      <c r="A19" s="4">
        <f>IFERROR(__xludf.DUMMYFUNCTION("""COMPUTED_VALUE"""),17.0)</f>
        <v>17</v>
      </c>
      <c r="B19" s="21" t="str">
        <f>IFERROR(__xludf.DUMMYFUNCTION("TEXTJOIN("", "", true, filter('Paper Recommendations Quotes'!D:D,'Paper Recommendations Quotes'!F:F=D19))"),"6")</f>
        <v>6</v>
      </c>
      <c r="C19" s="4" t="str">
        <f>IFERROR(__xludf.DUMMYFUNCTION("""COMPUTED_VALUE"""),"curriculum")</f>
        <v>curriculum</v>
      </c>
      <c r="D19" s="4" t="str">
        <f>IFERROR(__xludf.DUMMYFUNCTION("""COMPUTED_VALUE"""),"One way to achieve motivation is by making the course optional")</f>
        <v>One way to achieve motivation is by making the course optional</v>
      </c>
      <c r="E19" s="6"/>
      <c r="F19" s="6">
        <v>199.0</v>
      </c>
      <c r="G19" s="6" t="s">
        <v>59</v>
      </c>
      <c r="H19" s="22"/>
      <c r="I19" s="22" t="s">
        <v>12</v>
      </c>
    </row>
    <row r="20">
      <c r="A20" s="4">
        <f>IFERROR(__xludf.DUMMYFUNCTION("""COMPUTED_VALUE"""),18.0)</f>
        <v>18</v>
      </c>
      <c r="B20" s="21" t="str">
        <f>IFERROR(__xludf.DUMMYFUNCTION("TEXTJOIN("", "", true, filter('Paper Recommendations Quotes'!D:D,'Paper Recommendations Quotes'!F:F=D20))"),"14")</f>
        <v>14</v>
      </c>
      <c r="C20" s="4" t="str">
        <f>IFERROR(__xludf.DUMMYFUNCTION("""COMPUTED_VALUE"""),"curriculum")</f>
        <v>curriculum</v>
      </c>
      <c r="D20" s="4" t="str">
        <f>IFERROR(__xludf.DUMMYFUNCTION("""COMPUTED_VALUE"""),"Use DevOps course as a prerequisite for some specialization course to deliver to students specialized skills.")</f>
        <v>Use DevOps course as a prerequisite for some specialization course to deliver to students specialized skills.</v>
      </c>
      <c r="E20" s="6"/>
      <c r="F20" s="6"/>
      <c r="G20" s="6"/>
      <c r="H20" s="22"/>
      <c r="I20" s="22"/>
    </row>
    <row r="21">
      <c r="A21" s="4">
        <f>IFERROR(__xludf.DUMMYFUNCTION("""COMPUTED_VALUE"""),19.0)</f>
        <v>19</v>
      </c>
      <c r="B21" s="21" t="str">
        <f>IFERROR(__xludf.DUMMYFUNCTION("TEXTJOIN("", "", true, filter('Paper Recommendations Quotes'!D:D,'Paper Recommendations Quotes'!F:F=D21))"),"13")</f>
        <v>13</v>
      </c>
      <c r="C21" s="13" t="str">
        <f>IFERROR(__xludf.DUMMYFUNCTION("""COMPUTED_VALUE"""),"curriculum")</f>
        <v>curriculum</v>
      </c>
      <c r="D21" s="5" t="str">
        <f>IFERROR(__xludf.DUMMYFUNCTION("""COMPUTED_VALUE"""),"we outlining a course focusing on hybrid skills.")</f>
        <v>we outlining a course focusing on hybrid skills.</v>
      </c>
      <c r="E21" s="6"/>
      <c r="F21" s="6">
        <v>14.0</v>
      </c>
      <c r="G21" s="6" t="s">
        <v>60</v>
      </c>
      <c r="H21" s="22"/>
      <c r="I21" s="22" t="s">
        <v>10</v>
      </c>
    </row>
    <row r="22">
      <c r="A22" s="4">
        <f>IFERROR(__xludf.DUMMYFUNCTION("""COMPUTED_VALUE"""),20.0)</f>
        <v>20</v>
      </c>
      <c r="B22" s="21" t="str">
        <f>IFERROR(__xludf.DUMMYFUNCTION("TEXTJOIN("", "", true, filter('Paper Recommendations Quotes'!D:D,'Paper Recommendations Quotes'!F:F=D22))"),"15")</f>
        <v>15</v>
      </c>
      <c r="C22" s="4" t="str">
        <f>IFERROR(__xludf.DUMMYFUNCTION("""COMPUTED_VALUE"""),"curriculum")</f>
        <v>curriculum</v>
      </c>
      <c r="D22" s="5" t="str">
        <f>IFERROR(__xludf.DUMMYFUNCTION("""COMPUTED_VALUE"""),"Development than Operations presented the two sides as interrelated strengthen the knowledge and increase efficacy.")</f>
        <v>Development than Operations presented the two sides as interrelated strengthen the knowledge and increase efficacy.</v>
      </c>
      <c r="E22" s="6"/>
      <c r="F22" s="6"/>
      <c r="G22" s="6"/>
      <c r="H22" s="22"/>
      <c r="I22" s="22"/>
    </row>
    <row r="23">
      <c r="A23" s="4">
        <f>IFERROR(__xludf.DUMMYFUNCTION("""COMPUTED_VALUE"""),21.0)</f>
        <v>21</v>
      </c>
      <c r="B23" s="21" t="str">
        <f>IFERROR(__xludf.DUMMYFUNCTION("TEXTJOIN("", "", true, filter('Paper Recommendations Quotes'!D:D,'Paper Recommendations Quotes'!F:F=D23))"),"5")</f>
        <v>5</v>
      </c>
      <c r="C23" s="13" t="str">
        <f>IFERROR(__xludf.DUMMYFUNCTION("""COMPUTED_VALUE"""),"curriculum")</f>
        <v>curriculum</v>
      </c>
      <c r="D23" s="5" t="str">
        <f>IFERROR(__xludf.DUMMYFUNCTION("""COMPUTED_VALUE"""),"DevOps course should be two courses: first course IaC and basic automation and the second one to cover CI and CD.")</f>
        <v>DevOps course should be two courses: first course IaC and basic automation and the second one to cover CI and CD.</v>
      </c>
      <c r="E23" s="6"/>
      <c r="F23" s="6">
        <v>143.0</v>
      </c>
      <c r="G23" s="6" t="s">
        <v>61</v>
      </c>
      <c r="H23" s="22"/>
      <c r="I23" s="22" t="s">
        <v>12</v>
      </c>
    </row>
    <row r="24">
      <c r="A24" s="4">
        <f>IFERROR(__xludf.DUMMYFUNCTION("""COMPUTED_VALUE"""),22.0)</f>
        <v>22</v>
      </c>
      <c r="B24" s="21" t="str">
        <f>IFERROR(__xludf.DUMMYFUNCTION("TEXTJOIN("", "", true, filter('Paper Recommendations Quotes'!D:D,'Paper Recommendations Quotes'!F:F=D24))"),"1")</f>
        <v>1</v>
      </c>
      <c r="C24" s="14" t="str">
        <f>IFERROR(__xludf.DUMMYFUNCTION("""COMPUTED_VALUE"""),"curriculum")</f>
        <v>curriculum</v>
      </c>
      <c r="D24" s="4" t="str">
        <f>IFERROR(__xludf.DUMMYFUNCTION("""COMPUTED_VALUE"""),"continuous delivery improve learning software testing.")</f>
        <v>continuous delivery improve learning software testing.</v>
      </c>
      <c r="E24" s="6"/>
      <c r="F24" s="6"/>
      <c r="G24" s="6"/>
      <c r="H24" s="22"/>
      <c r="I24" s="22"/>
    </row>
    <row r="25">
      <c r="A25" s="4">
        <f>IFERROR(__xludf.DUMMYFUNCTION("""COMPUTED_VALUE"""),23.0)</f>
        <v>23</v>
      </c>
      <c r="B25" s="21" t="str">
        <f>IFERROR(__xludf.DUMMYFUNCTION("TEXTJOIN("", "", true, filter('Paper Recommendations Quotes'!D:D,'Paper Recommendations Quotes'!F:F=D25))"),"14")</f>
        <v>14</v>
      </c>
      <c r="C25" s="4" t="str">
        <f>IFERROR(__xludf.DUMMYFUNCTION("""COMPUTED_VALUE"""),"curriculum")</f>
        <v>curriculum</v>
      </c>
      <c r="D25" s="4" t="str">
        <f>IFERROR(__xludf.DUMMYFUNCTION("""COMPUTED_VALUE"""),"Curriculum should couple Architecture to DevOps because both approaches complement each other.")</f>
        <v>Curriculum should couple Architecture to DevOps because both approaches complement each other.</v>
      </c>
      <c r="E25" s="6"/>
      <c r="F25" s="6">
        <v>151.0</v>
      </c>
      <c r="G25" s="6" t="s">
        <v>57</v>
      </c>
      <c r="H25" s="22"/>
      <c r="I25" s="22" t="s">
        <v>12</v>
      </c>
    </row>
    <row r="26">
      <c r="A26" s="4">
        <f>IFERROR(__xludf.DUMMYFUNCTION("""COMPUTED_VALUE"""),24.0)</f>
        <v>24</v>
      </c>
      <c r="B26" s="21" t="str">
        <f>IFERROR(__xludf.DUMMYFUNCTION("TEXTJOIN("", "", true, filter('Paper Recommendations Quotes'!D:D,'Paper Recommendations Quotes'!F:F=D26))"),"15")</f>
        <v>15</v>
      </c>
      <c r="C26" s="4" t="str">
        <f>IFERROR(__xludf.DUMMYFUNCTION("""COMPUTED_VALUE"""),"curriculum")</f>
        <v>curriculum</v>
      </c>
      <c r="D26" s="4" t="str">
        <f>IFERROR(__xludf.DUMMYFUNCTION("""COMPUTED_VALUE"""),"we need to introduce courses on learning and adaptation theories, algorithms and tools before DevOps course.")</f>
        <v>we need to introduce courses on learning and adaptation theories, algorithms and tools before DevOps course.</v>
      </c>
      <c r="E26" s="6"/>
      <c r="F26" s="6"/>
      <c r="G26" s="6"/>
      <c r="H26" s="22"/>
      <c r="I26" s="22"/>
    </row>
    <row r="27">
      <c r="A27" s="4">
        <f>IFERROR(__xludf.DUMMYFUNCTION("""COMPUTED_VALUE"""),25.0)</f>
        <v>25</v>
      </c>
      <c r="B27" s="21" t="str">
        <f>IFERROR(__xludf.DUMMYFUNCTION("TEXTJOIN("", "", true, filter('Paper Recommendations Quotes'!D:D,'Paper Recommendations Quotes'!F:F=D27))"),"9")</f>
        <v>9</v>
      </c>
      <c r="C27" s="4" t="str">
        <f>IFERROR(__xludf.DUMMYFUNCTION("""COMPUTED_VALUE"""),"curriculum")</f>
        <v>curriculum</v>
      </c>
      <c r="D27" s="4" t="str">
        <f>IFERROR(__xludf.DUMMYFUNCTION("""COMPUTED_VALUE"""),"DevOps course needs time to teach (three weeks in 125 hours for summer course)")</f>
        <v>DevOps course needs time to teach (three weeks in 125 hours for summer course)</v>
      </c>
      <c r="E27" s="6"/>
      <c r="F27" s="6">
        <v>194.0</v>
      </c>
      <c r="G27" s="6" t="s">
        <v>62</v>
      </c>
      <c r="H27" s="22"/>
      <c r="I27" s="22" t="s">
        <v>12</v>
      </c>
    </row>
    <row r="28">
      <c r="A28" s="4">
        <f>IFERROR(__xludf.DUMMYFUNCTION("""COMPUTED_VALUE"""),26.0)</f>
        <v>26</v>
      </c>
      <c r="B28" s="4" t="str">
        <f>IFERROR(__xludf.DUMMYFUNCTION("TEXTJOIN("", "", true, filter('Paper Recommendations Quotes'!D:D,'Paper Recommendations Quotes'!F:F=D28))"),"1")</f>
        <v>1</v>
      </c>
      <c r="C28" s="4" t="str">
        <f>IFERROR(__xludf.DUMMYFUNCTION("""COMPUTED_VALUE"""),"curriculum")</f>
        <v>curriculum</v>
      </c>
      <c r="D28" s="4" t="str">
        <f>IFERROR(__xludf.DUMMYFUNCTION("""COMPUTED_VALUE"""),"instructors should make note of the amount of time that it will take for them to setup for the lab.")</f>
        <v>instructors should make note of the amount of time that it will take for them to setup for the lab.</v>
      </c>
      <c r="E28" s="6"/>
      <c r="F28" s="6">
        <v>175.0</v>
      </c>
      <c r="G28" s="6" t="s">
        <v>63</v>
      </c>
      <c r="H28" s="22"/>
      <c r="I28" s="22" t="s">
        <v>12</v>
      </c>
    </row>
    <row r="29">
      <c r="A29" s="4">
        <f>IFERROR(__xludf.DUMMYFUNCTION("""COMPUTED_VALUE"""),27.0)</f>
        <v>27</v>
      </c>
      <c r="B29" s="4" t="str">
        <f>IFERROR(__xludf.DUMMYFUNCTION("TEXTJOIN("", "", true, filter('Paper Recommendations Quotes'!D:D,'Paper Recommendations Quotes'!F:F=D29))"),"15")</f>
        <v>15</v>
      </c>
      <c r="C29" s="4" t="str">
        <f>IFERROR(__xludf.DUMMYFUNCTION("""COMPUTED_VALUE"""),"devops concepts")</f>
        <v>devops concepts</v>
      </c>
      <c r="D29" s="4" t="str">
        <f>IFERROR(__xludf.DUMMYFUNCTION("""COMPUTED_VALUE"""),"It is therefore necessary describing how fundamental knowledge works within the frame of this philosophy;")</f>
        <v>It is therefore necessary describing how fundamental knowledge works within the frame of this philosophy;</v>
      </c>
      <c r="E29" s="6"/>
      <c r="F29" s="6">
        <v>41.0</v>
      </c>
      <c r="G29" s="6" t="s">
        <v>64</v>
      </c>
      <c r="H29" s="22"/>
      <c r="I29" s="22" t="s">
        <v>12</v>
      </c>
    </row>
    <row r="30">
      <c r="A30" s="4">
        <f>IFERROR(__xludf.DUMMYFUNCTION("""COMPUTED_VALUE"""),28.0)</f>
        <v>28</v>
      </c>
      <c r="B30" s="4" t="str">
        <f>IFERROR(__xludf.DUMMYFUNCTION("TEXTJOIN("", "", true, filter('Paper Recommendations Quotes'!D:D,'Paper Recommendations Quotes'!F:F=D30))"),"14")</f>
        <v>14</v>
      </c>
      <c r="C30" s="4" t="str">
        <f>IFERROR(__xludf.DUMMYFUNCTION("""COMPUTED_VALUE"""),"devops concepts")</f>
        <v>devops concepts</v>
      </c>
      <c r="D30" s="4" t="str">
        <f>IFERROR(__xludf.DUMMYFUNCTION("""COMPUTED_VALUE"""),"the course must focus on the concepts, and use tools only as an illustration.")</f>
        <v>the course must focus on the concepts, and use tools only as an illustration.</v>
      </c>
      <c r="E30" s="6"/>
      <c r="F30" s="6">
        <v>153.0</v>
      </c>
      <c r="G30" s="6" t="s">
        <v>65</v>
      </c>
      <c r="H30" s="22"/>
      <c r="I30" s="22" t="s">
        <v>12</v>
      </c>
    </row>
    <row r="31">
      <c r="A31" s="4">
        <f>IFERROR(__xludf.DUMMYFUNCTION("""COMPUTED_VALUE"""),29.0)</f>
        <v>29</v>
      </c>
      <c r="B31" s="4" t="str">
        <f>IFERROR(__xludf.DUMMYFUNCTION("TEXTJOIN("", "", true, filter('Paper Recommendations Quotes'!D:D,'Paper Recommendations Quotes'!F:F=D31))"),"15")</f>
        <v>15</v>
      </c>
      <c r="C31" s="4" t="str">
        <f>IFERROR(__xludf.DUMMYFUNCTION("""COMPUTED_VALUE"""),"devops concepts")</f>
        <v>devops concepts</v>
      </c>
      <c r="D31" s="4" t="str">
        <f>IFERROR(__xludf.DUMMYFUNCTION("""COMPUTED_VALUE"""),"It is therefore necessary to explain students the DevOps values from scratch;")</f>
        <v>It is therefore necessary to explain students the DevOps values from scratch;</v>
      </c>
      <c r="E31" s="6"/>
      <c r="F31" s="6">
        <v>162.0</v>
      </c>
      <c r="G31" s="6" t="s">
        <v>66</v>
      </c>
      <c r="H31" s="22"/>
      <c r="I31" s="22" t="s">
        <v>12</v>
      </c>
    </row>
    <row r="32">
      <c r="A32" s="4">
        <f>IFERROR(__xludf.DUMMYFUNCTION("""COMPUTED_VALUE"""),30.0)</f>
        <v>30</v>
      </c>
      <c r="B32" s="4" t="str">
        <f>IFERROR(__xludf.DUMMYFUNCTION("TEXTJOIN("", "", true, filter('Paper Recommendations Quotes'!D:D,'Paper Recommendations Quotes'!F:F=D32))"),"15")</f>
        <v>15</v>
      </c>
      <c r="C32" s="4" t="str">
        <f>IFERROR(__xludf.DUMMYFUNCTION("""COMPUTED_VALUE"""),"devops concepts")</f>
        <v>devops concepts</v>
      </c>
      <c r="D32" s="4" t="str">
        <f>IFERROR(__xludf.DUMMYFUNCTION("""COMPUTED_VALUE"""),"It may be useful to intensify the theoretical delivery ")</f>
        <v>It may be useful to intensify the theoretical delivery </v>
      </c>
      <c r="E32" s="6"/>
      <c r="F32" s="6">
        <v>10.0</v>
      </c>
      <c r="G32" s="6" t="s">
        <v>67</v>
      </c>
      <c r="H32" s="22"/>
      <c r="I32" s="22" t="s">
        <v>12</v>
      </c>
    </row>
    <row r="33">
      <c r="A33" s="4">
        <f>IFERROR(__xludf.DUMMYFUNCTION("""COMPUTED_VALUE"""),31.0)</f>
        <v>31</v>
      </c>
      <c r="B33" s="4" t="str">
        <f>IFERROR(__xludf.DUMMYFUNCTION("TEXTJOIN("", "", true, filter('Paper Recommendations Quotes'!D:D,'Paper Recommendations Quotes'!F:F=D33))"),"14")</f>
        <v>14</v>
      </c>
      <c r="C33" s="4" t="str">
        <f>IFERROR(__xludf.DUMMYFUNCTION("""COMPUTED_VALUE"""),"devops concepts")</f>
        <v>devops concepts</v>
      </c>
      <c r="D33" s="4" t="str">
        <f>IFERROR(__xludf.DUMMYFUNCTION("""COMPUTED_VALUE"""),"the course should teach theoretical concepts using shared project before lab assignments.")</f>
        <v>the course should teach theoretical concepts using shared project before lab assignments.</v>
      </c>
      <c r="E33" s="6"/>
      <c r="F33" s="6">
        <v>30.0</v>
      </c>
      <c r="G33" s="6" t="s">
        <v>68</v>
      </c>
      <c r="H33" s="22"/>
      <c r="I33" s="22" t="s">
        <v>12</v>
      </c>
    </row>
    <row r="34">
      <c r="A34" s="4">
        <f>IFERROR(__xludf.DUMMYFUNCTION("""COMPUTED_VALUE"""),32.0)</f>
        <v>32</v>
      </c>
      <c r="B34" s="4" t="str">
        <f>IFERROR(__xludf.DUMMYFUNCTION("TEXTJOIN("", "", true, filter('Paper Recommendations Quotes'!D:D,'Paper Recommendations Quotes'!F:F=D34))"),"14")</f>
        <v>14</v>
      </c>
      <c r="C34" s="4" t="str">
        <f>IFERROR(__xludf.DUMMYFUNCTION("""COMPUTED_VALUE"""),"devops concepts")</f>
        <v>devops concepts</v>
      </c>
      <c r="D34" s="4" t="str">
        <f>IFERROR(__xludf.DUMMYFUNCTION("""COMPUTED_VALUE"""),"to introduce all principles and pillars of DevOps earlier, together with basic realizations for each part so that they can be applied to the project.")</f>
        <v>to introduce all principles and pillars of DevOps earlier, together with basic realizations for each part so that they can be applied to the project.</v>
      </c>
      <c r="E34" s="6"/>
      <c r="F34" s="6">
        <v>162.0</v>
      </c>
      <c r="G34" s="6" t="s">
        <v>66</v>
      </c>
      <c r="H34" s="22"/>
      <c r="I34" s="22" t="s">
        <v>12</v>
      </c>
    </row>
    <row r="35">
      <c r="A35" s="4">
        <f>IFERROR(__xludf.DUMMYFUNCTION("""COMPUTED_VALUE"""),33.0)</f>
        <v>33</v>
      </c>
      <c r="B35" s="4" t="str">
        <f>IFERROR(__xludf.DUMMYFUNCTION("TEXTJOIN("", "", true, filter('Paper Recommendations Quotes'!D:D,'Paper Recommendations Quotes'!F:F=D35))"),"9")</f>
        <v>9</v>
      </c>
      <c r="C35" s="4" t="str">
        <f>IFERROR(__xludf.DUMMYFUNCTION("""COMPUTED_VALUE"""),"devops concepts")</f>
        <v>devops concepts</v>
      </c>
      <c r="D35" s="4" t="str">
        <f>IFERROR(__xludf.DUMMYFUNCTION("""COMPUTED_VALUE"""),"Both authors have multidisciplinary and pedagogical background and working experience in higher education")</f>
        <v>Both authors have multidisciplinary and pedagogical background and working experience in higher education</v>
      </c>
      <c r="E35" s="6"/>
      <c r="F35" s="6">
        <v>197.0</v>
      </c>
      <c r="G35" s="6" t="s">
        <v>69</v>
      </c>
      <c r="H35" s="22"/>
      <c r="I35" s="22" t="s">
        <v>12</v>
      </c>
    </row>
    <row r="36">
      <c r="A36" s="4">
        <f>IFERROR(__xludf.DUMMYFUNCTION("""COMPUTED_VALUE"""),34.0)</f>
        <v>34</v>
      </c>
      <c r="B36" s="4" t="str">
        <f>IFERROR(__xludf.DUMMYFUNCTION("TEXTJOIN("", "", true, filter('Paper Recommendations Quotes'!D:D,'Paper Recommendations Quotes'!F:F=D36))"),"1")</f>
        <v>1</v>
      </c>
      <c r="C36" s="4" t="str">
        <f>IFERROR(__xludf.DUMMYFUNCTION("""COMPUTED_VALUE"""),"devops concepts")</f>
        <v>devops concepts</v>
      </c>
      <c r="D36" s="4" t="str">
        <f>IFERROR(__xludf.DUMMYFUNCTION("""COMPUTED_VALUE"""),"The pipeline used was designed to help instructors introduce continuous integration and delivery into preexisting courses and allow students to visually understand the processes of continuous delivery and continuous integration.")</f>
        <v>The pipeline used was designed to help instructors introduce continuous integration and delivery into preexisting courses and allow students to visually understand the processes of continuous delivery and continuous integration.</v>
      </c>
      <c r="E36" s="6"/>
      <c r="F36" s="6">
        <v>83.0</v>
      </c>
      <c r="G36" s="6" t="s">
        <v>70</v>
      </c>
      <c r="H36" s="22"/>
      <c r="I36" s="22" t="s">
        <v>10</v>
      </c>
    </row>
    <row r="37">
      <c r="A37" s="4">
        <f>IFERROR(__xludf.DUMMYFUNCTION("""COMPUTED_VALUE"""),35.0)</f>
        <v>35</v>
      </c>
      <c r="B37" s="4" t="str">
        <f>IFERROR(__xludf.DUMMYFUNCTION("TEXTJOIN("", "", true, filter('Paper Recommendations Quotes'!D:D,'Paper Recommendations Quotes'!F:F=D37))"),"11")</f>
        <v>11</v>
      </c>
      <c r="C37" s="4" t="str">
        <f>IFERROR(__xludf.DUMMYFUNCTION("""COMPUTED_VALUE"""),"devops concepts")</f>
        <v>devops concepts</v>
      </c>
      <c r="D37" s="4" t="str">
        <f>IFERROR(__xludf.DUMMYFUNCTION("""COMPUTED_VALUE"""),"without our automated deployment pipeline the customer feedback would not have been possible in such an easy way.")</f>
        <v>without our automated deployment pipeline the customer feedback would not have been possible in such an easy way.</v>
      </c>
      <c r="E37" s="6"/>
      <c r="F37" s="6">
        <v>18.0</v>
      </c>
      <c r="G37" s="6" t="s">
        <v>71</v>
      </c>
      <c r="H37" s="22"/>
      <c r="I37" s="22" t="s">
        <v>10</v>
      </c>
    </row>
    <row r="38">
      <c r="A38" s="4">
        <f>IFERROR(__xludf.DUMMYFUNCTION("""COMPUTED_VALUE"""),36.0)</f>
        <v>36</v>
      </c>
      <c r="B38" s="4" t="str">
        <f>IFERROR(__xludf.DUMMYFUNCTION("TEXTJOIN("", "", true, filter('Paper Recommendations Quotes'!D:D,'Paper Recommendations Quotes'!F:F=D38))"),"15")</f>
        <v>15</v>
      </c>
      <c r="C38" s="4" t="str">
        <f>IFERROR(__xludf.DUMMYFUNCTION("""COMPUTED_VALUE"""),"devops concepts")</f>
        <v>devops concepts</v>
      </c>
      <c r="D38" s="4" t="str">
        <f>IFERROR(__xludf.DUMMYFUNCTION("""COMPUTED_VALUE"""),"To cover the ”Ops” part we need to teach how to engineer innovative software systems that can react to changes and new needs properly, without compromising the effectiveness of the system and without imposing cumbersome a priori analyses.")</f>
        <v>To cover the ”Ops” part we need to teach how to engineer innovative software systems that can react to changes and new needs properly, without compromising the effectiveness of the system and without imposing cumbersome a priori analyses.</v>
      </c>
      <c r="E38" s="6"/>
      <c r="F38" s="6"/>
      <c r="G38" s="6"/>
      <c r="H38" s="22"/>
      <c r="I38" s="22"/>
    </row>
    <row r="39">
      <c r="A39" s="4">
        <f>IFERROR(__xludf.DUMMYFUNCTION("""COMPUTED_VALUE"""),37.0)</f>
        <v>37</v>
      </c>
      <c r="B39" s="4" t="str">
        <f>IFERROR(__xludf.DUMMYFUNCTION("TEXTJOIN("", "", true, filter('Paper Recommendations Quotes'!D:D,'Paper Recommendations Quotes'!F:F=D39))"),"10")</f>
        <v>10</v>
      </c>
      <c r="C39" s="4" t="str">
        <f>IFERROR(__xludf.DUMMYFUNCTION("""COMPUTED_VALUE"""),"environment setup")</f>
        <v>environment setup</v>
      </c>
      <c r="D39" s="4" t="str">
        <f>IFERROR(__xludf.DUMMYFUNCTION("""COMPUTED_VALUE"""),"An application which is suitable for learners to serve as a means for setting up a deployment pipeline is presented.")</f>
        <v>An application which is suitable for learners to serve as a means for setting up a deployment pipeline is presented.</v>
      </c>
      <c r="E39" s="6"/>
      <c r="F39" s="6">
        <v>30.0</v>
      </c>
      <c r="G39" s="6" t="s">
        <v>68</v>
      </c>
      <c r="H39" s="22"/>
      <c r="I39" s="22" t="s">
        <v>12</v>
      </c>
    </row>
    <row r="40">
      <c r="A40" s="4">
        <f>IFERROR(__xludf.DUMMYFUNCTION("""COMPUTED_VALUE"""),38.0)</f>
        <v>38</v>
      </c>
      <c r="B40" s="4" t="str">
        <f>IFERROR(__xludf.DUMMYFUNCTION("TEXTJOIN("", "", true, filter('Paper Recommendations Quotes'!D:D,'Paper Recommendations Quotes'!F:F=D40))"),"9")</f>
        <v>9</v>
      </c>
      <c r="C40" s="4" t="str">
        <f>IFERROR(__xludf.DUMMYFUNCTION("""COMPUTED_VALUE"""),"environment setup")</f>
        <v>environment setup</v>
      </c>
      <c r="D40" s="4" t="str">
        <f>IFERROR(__xludf.DUMMYFUNCTION("""COMPUTED_VALUE"""),"running the servers as a service is more straightforward on consecutive days")</f>
        <v>running the servers as a service is more straightforward on consecutive days</v>
      </c>
      <c r="E40" s="6"/>
      <c r="F40" s="6"/>
      <c r="G40" s="6"/>
      <c r="H40" s="22"/>
      <c r="I40" s="22"/>
    </row>
    <row r="41">
      <c r="A41" s="4">
        <f>IFERROR(__xludf.DUMMYFUNCTION("""COMPUTED_VALUE"""),39.0)</f>
        <v>39</v>
      </c>
      <c r="B41" s="4" t="str">
        <f>IFERROR(__xludf.DUMMYFUNCTION("TEXTJOIN("", "", true, filter('Paper Recommendations Quotes'!D:D,'Paper Recommendations Quotes'!F:F=D41))"),"1")</f>
        <v>1</v>
      </c>
      <c r="C41" s="4" t="str">
        <f>IFERROR(__xludf.DUMMYFUNCTION("""COMPUTED_VALUE"""),"environment setup")</f>
        <v>environment setup</v>
      </c>
      <c r="D41" s="4" t="str">
        <f>IFERROR(__xludf.DUMMYFUNCTION("""COMPUTED_VALUE"""),"when setting up for independent labs, the instructor leads the class through the setup process.")</f>
        <v>when setting up for independent labs, the instructor leads the class through the setup process.</v>
      </c>
      <c r="E41" s="6"/>
      <c r="F41" s="6"/>
      <c r="G41" s="6"/>
      <c r="H41" s="22"/>
      <c r="I41" s="22"/>
    </row>
    <row r="42">
      <c r="A42" s="4">
        <f>IFERROR(__xludf.DUMMYFUNCTION("""COMPUTED_VALUE"""),40.0)</f>
        <v>40</v>
      </c>
      <c r="B42" s="4" t="str">
        <f>IFERROR(__xludf.DUMMYFUNCTION("TEXTJOIN("", "", true, filter('Paper Recommendations Quotes'!D:D,'Paper Recommendations Quotes'!F:F=D42))"),"1")</f>
        <v>1</v>
      </c>
      <c r="C42" s="4" t="str">
        <f>IFERROR(__xludf.DUMMYFUNCTION("""COMPUTED_VALUE"""),"environment setup")</f>
        <v>environment setup</v>
      </c>
      <c r="D42" s="4" t="str">
        <f>IFERROR(__xludf.DUMMYFUNCTION("""COMPUTED_VALUE"""),"automated scripts save significant time to setting up each student's repository.")</f>
        <v>automated scripts save significant time to setting up each student's repository.</v>
      </c>
      <c r="E42" s="6"/>
      <c r="F42" s="6"/>
      <c r="G42" s="6"/>
      <c r="H42" s="22"/>
      <c r="I42" s="22"/>
    </row>
    <row r="43">
      <c r="A43" s="4">
        <f>IFERROR(__xludf.DUMMYFUNCTION("""COMPUTED_VALUE"""),41.0)</f>
        <v>41</v>
      </c>
      <c r="B43" s="4" t="str">
        <f>IFERROR(__xludf.DUMMYFUNCTION("TEXTJOIN("", "", true, filter('Paper Recommendations Quotes'!D:D,'Paper Recommendations Quotes'!F:F=D43))"),"8")</f>
        <v>8</v>
      </c>
      <c r="C43" s="4" t="str">
        <f>IFERROR(__xludf.DUMMYFUNCTION("""COMPUTED_VALUE"""),"environment setup")</f>
        <v>environment setup</v>
      </c>
      <c r="D43" s="4" t="str">
        <f>IFERROR(__xludf.DUMMYFUNCTION("""COMPUTED_VALUE"""),"Cloud DevOps platforms allow teams to take advantage of DevOps processes without having to invest their own effort in the integration of the necessary tools")</f>
        <v>Cloud DevOps platforms allow teams to take advantage of DevOps processes without having to invest their own effort in the integration of the necessary tools</v>
      </c>
      <c r="E43" s="6"/>
      <c r="F43" s="6" t="s">
        <v>72</v>
      </c>
      <c r="G43" s="6" t="s">
        <v>73</v>
      </c>
      <c r="H43" s="22"/>
      <c r="I43" s="22" t="s">
        <v>12</v>
      </c>
    </row>
    <row r="44">
      <c r="A44" s="4">
        <f>IFERROR(__xludf.DUMMYFUNCTION("""COMPUTED_VALUE"""),42.0)</f>
        <v>42</v>
      </c>
      <c r="B44" s="4" t="str">
        <f>IFERROR(__xludf.DUMMYFUNCTION("TEXTJOIN("", "", true, filter('Paper Recommendations Quotes'!D:D,'Paper Recommendations Quotes'!F:F=D44))"),"14")</f>
        <v>14</v>
      </c>
      <c r="C44" s="4" t="str">
        <f>IFERROR(__xludf.DUMMYFUNCTION("""COMPUTED_VALUE"""),"pedagogy")</f>
        <v>pedagogy</v>
      </c>
      <c r="D44" s="4" t="str">
        <f>IFERROR(__xludf.DUMMYFUNCTION("""COMPUTED_VALUE"""),"project-based teaching has proved to be successful as knowledge transfer mechanism.")</f>
        <v>project-based teaching has proved to be successful as knowledge transfer mechanism.</v>
      </c>
      <c r="E44" s="6"/>
      <c r="F44" s="6" t="s">
        <v>74</v>
      </c>
      <c r="G44" s="6" t="s">
        <v>75</v>
      </c>
      <c r="H44" s="22"/>
      <c r="I44" s="22" t="s">
        <v>10</v>
      </c>
    </row>
    <row r="45">
      <c r="A45" s="4">
        <f>IFERROR(__xludf.DUMMYFUNCTION("""COMPUTED_VALUE"""),43.0)</f>
        <v>43</v>
      </c>
      <c r="B45" s="4" t="str">
        <f>IFERROR(__xludf.DUMMYFUNCTION("TEXTJOIN("", "", true, filter('Paper Recommendations Quotes'!D:D,'Paper Recommendations Quotes'!F:F=D45))"),"4")</f>
        <v>4</v>
      </c>
      <c r="C45" s="4" t="str">
        <f>IFERROR(__xludf.DUMMYFUNCTION("""COMPUTED_VALUE"""),"pedagogy")</f>
        <v>pedagogy</v>
      </c>
      <c r="D45" s="4" t="str">
        <f>IFERROR(__xludf.DUMMYFUNCTION("""COMPUTED_VALUE"""),"project-based teaching, blended with traditional lectures and tutoring sessions has already proved to be successful as knowledge transfer mechanism.")</f>
        <v>project-based teaching, blended with traditional lectures and tutoring sessions has already proved to be successful as knowledge transfer mechanism.</v>
      </c>
      <c r="E45" s="6"/>
      <c r="F45" s="6" t="s">
        <v>76</v>
      </c>
      <c r="G45" s="6" t="s">
        <v>77</v>
      </c>
      <c r="H45" s="22"/>
      <c r="I45" s="22" t="s">
        <v>10</v>
      </c>
    </row>
    <row r="46">
      <c r="A46" s="4">
        <f>IFERROR(__xludf.DUMMYFUNCTION("""COMPUTED_VALUE"""),44.0)</f>
        <v>44</v>
      </c>
      <c r="B46" s="4" t="str">
        <f>IFERROR(__xludf.DUMMYFUNCTION("TEXTJOIN("", "", true, filter('Paper Recommendations Quotes'!D:D,'Paper Recommendations Quotes'!F:F=D46))"),"4")</f>
        <v>4</v>
      </c>
      <c r="C46" s="4" t="str">
        <f>IFERROR(__xludf.DUMMYFUNCTION("""COMPUTED_VALUE"""),"pedagogy")</f>
        <v>pedagogy</v>
      </c>
      <c r="D46" s="4" t="str">
        <f>IFERROR(__xludf.DUMMYFUNCTION("""COMPUTED_VALUE"""),"Assigning the same project to every group")</f>
        <v>Assigning the same project to every group</v>
      </c>
      <c r="E46" s="6"/>
      <c r="F46" s="6" t="s">
        <v>78</v>
      </c>
      <c r="G46" s="6" t="s">
        <v>79</v>
      </c>
      <c r="H46" s="22"/>
      <c r="I46" s="22" t="s">
        <v>12</v>
      </c>
    </row>
    <row r="47">
      <c r="A47" s="4">
        <f>IFERROR(__xludf.DUMMYFUNCTION("""COMPUTED_VALUE"""),45.0)</f>
        <v>45</v>
      </c>
      <c r="B47" s="4" t="str">
        <f>IFERROR(__xludf.DUMMYFUNCTION("TEXTJOIN("", "", true, filter('Paper Recommendations Quotes'!D:D,'Paper Recommendations Quotes'!F:F=D47))"),"4")</f>
        <v>4</v>
      </c>
      <c r="C47" s="4" t="str">
        <f>IFERROR(__xludf.DUMMYFUNCTION("""COMPUTED_VALUE"""),"pedagogy")</f>
        <v>pedagogy</v>
      </c>
      <c r="D47" s="4" t="str">
        <f>IFERROR(__xludf.DUMMYFUNCTION("""COMPUTED_VALUE"""),"a more detailed initial project description would be provided to each student")</f>
        <v>a more detailed initial project description would be provided to each student</v>
      </c>
      <c r="E47" s="6"/>
      <c r="F47" s="6"/>
      <c r="G47" s="6"/>
      <c r="H47" s="22"/>
      <c r="I47" s="22"/>
    </row>
    <row r="48">
      <c r="A48" s="4">
        <f>IFERROR(__xludf.DUMMYFUNCTION("""COMPUTED_VALUE"""),46.0)</f>
        <v>46</v>
      </c>
      <c r="B48" s="4" t="str">
        <f>IFERROR(__xludf.DUMMYFUNCTION("TEXTJOIN("", "", true, filter('Paper Recommendations Quotes'!D:D,'Paper Recommendations Quotes'!F:F=D48))"),"6")</f>
        <v>6</v>
      </c>
      <c r="C48" s="4" t="str">
        <f>IFERROR(__xludf.DUMMYFUNCTION("""COMPUTED_VALUE"""),"pedagogy")</f>
        <v>pedagogy</v>
      </c>
      <c r="D48" s="4" t="str">
        <f>IFERROR(__xludf.DUMMYFUNCTION("""COMPUTED_VALUE"""),"even if the course is project-driven, students need personal assistance.")</f>
        <v>even if the course is project-driven, students need personal assistance.</v>
      </c>
      <c r="E48" s="6"/>
      <c r="F48" s="6">
        <v>117.0</v>
      </c>
      <c r="G48" s="6" t="s">
        <v>80</v>
      </c>
      <c r="H48" s="22"/>
      <c r="I48" s="22" t="s">
        <v>10</v>
      </c>
    </row>
    <row r="49">
      <c r="A49" s="4">
        <f>IFERROR(__xludf.DUMMYFUNCTION("""COMPUTED_VALUE"""),47.0)</f>
        <v>47</v>
      </c>
      <c r="B49" s="4" t="str">
        <f>IFERROR(__xludf.DUMMYFUNCTION("TEXTJOIN("", "", true, filter('Paper Recommendations Quotes'!D:D,'Paper Recommendations Quotes'!F:F=D49))"),"17")</f>
        <v>17</v>
      </c>
      <c r="C49" s="4" t="str">
        <f>IFERROR(__xludf.DUMMYFUNCTION("""COMPUTED_VALUE"""),"pedagogy")</f>
        <v>pedagogy</v>
      </c>
      <c r="D49" s="4" t="str">
        <f>IFERROR(__xludf.DUMMYFUNCTION("""COMPUTED_VALUE"""),"we design projects representing different customer types, architecture styles and techniques.")</f>
        <v>we design projects representing different customer types, architecture styles and techniques.</v>
      </c>
      <c r="E49" s="6"/>
      <c r="F49" s="6">
        <v>126.0</v>
      </c>
      <c r="G49" s="6" t="s">
        <v>81</v>
      </c>
      <c r="H49" s="22"/>
      <c r="I49" s="22" t="s">
        <v>10</v>
      </c>
    </row>
    <row r="50">
      <c r="A50" s="4">
        <f>IFERROR(__xludf.DUMMYFUNCTION("""COMPUTED_VALUE"""),48.0)</f>
        <v>48</v>
      </c>
      <c r="B50" s="4" t="str">
        <f>IFERROR(__xludf.DUMMYFUNCTION("TEXTJOIN("", "", true, filter('Paper Recommendations Quotes'!D:D,'Paper Recommendations Quotes'!F:F=D50))"),"17")</f>
        <v>17</v>
      </c>
      <c r="C50" s="4" t="str">
        <f>IFERROR(__xludf.DUMMYFUNCTION("""COMPUTED_VALUE"""),"pedagogy")</f>
        <v>pedagogy</v>
      </c>
      <c r="D50" s="4" t="str">
        <f>IFERROR(__xludf.DUMMYFUNCTION("""COMPUTED_VALUE"""),"we collaborate with various partners representing customers from industry as well as on-campus organizations on project design.")</f>
        <v>we collaborate with various partners representing customers from industry as well as on-campus organizations on project design.</v>
      </c>
      <c r="E50" s="6"/>
      <c r="F50" s="6">
        <v>187.0</v>
      </c>
      <c r="G50" s="6" t="s">
        <v>82</v>
      </c>
      <c r="H50" s="22"/>
      <c r="I50" s="22" t="s">
        <v>12</v>
      </c>
    </row>
    <row r="51">
      <c r="A51" s="4">
        <f>IFERROR(__xludf.DUMMYFUNCTION("""COMPUTED_VALUE"""),49.0)</f>
        <v>49</v>
      </c>
      <c r="B51" s="4" t="str">
        <f>IFERROR(__xludf.DUMMYFUNCTION("TEXTJOIN("", "", true, filter('Paper Recommendations Quotes'!D:D,'Paper Recommendations Quotes'!F:F=D51))"),"11")</f>
        <v>11</v>
      </c>
      <c r="C51" s="4" t="str">
        <f>IFERROR(__xludf.DUMMYFUNCTION("""COMPUTED_VALUE"""),"pedagogy")</f>
        <v>pedagogy</v>
      </c>
      <c r="D51" s="4" t="str">
        <f>IFERROR(__xludf.DUMMYFUNCTION("""COMPUTED_VALUE"""),"the key success factors is the cross-project release management team")</f>
        <v>the key success factors is the cross-project release management team</v>
      </c>
      <c r="E51" s="6"/>
      <c r="F51" s="6"/>
      <c r="G51" s="6"/>
      <c r="H51" s="22"/>
      <c r="I51" s="22"/>
    </row>
    <row r="52">
      <c r="A52" s="4">
        <f>IFERROR(__xludf.DUMMYFUNCTION("""COMPUTED_VALUE"""),50.0)</f>
        <v>50</v>
      </c>
      <c r="B52" s="4" t="str">
        <f>IFERROR(__xludf.DUMMYFUNCTION("TEXTJOIN("", "", true, filter('Paper Recommendations Quotes'!D:D,'Paper Recommendations Quotes'!F:F=D52))"),"17")</f>
        <v>17</v>
      </c>
      <c r="C52" s="4" t="str">
        <f>IFERROR(__xludf.DUMMYFUNCTION("""COMPUTED_VALUE"""),"pedagogy")</f>
        <v>pedagogy</v>
      </c>
      <c r="D52" s="4" t="str">
        <f>IFERROR(__xludf.DUMMYFUNCTION("""COMPUTED_VALUE"""),"to introduce diversities into the design of course projects.")</f>
        <v>to introduce diversities into the design of course projects.</v>
      </c>
      <c r="E52" s="6"/>
      <c r="F52" s="6">
        <v>126.0</v>
      </c>
      <c r="G52" s="6" t="s">
        <v>81</v>
      </c>
      <c r="H52" s="22"/>
      <c r="I52" s="22" t="s">
        <v>12</v>
      </c>
    </row>
    <row r="53">
      <c r="A53" s="4">
        <f>IFERROR(__xludf.DUMMYFUNCTION("""COMPUTED_VALUE"""),51.0)</f>
        <v>51</v>
      </c>
      <c r="B53" s="4" t="str">
        <f>IFERROR(__xludf.DUMMYFUNCTION("TEXTJOIN("", "", true, filter('Paper Recommendations Quotes'!D:D,'Paper Recommendations Quotes'!F:F=D53))"),"6")</f>
        <v>6</v>
      </c>
      <c r="C53" s="4" t="str">
        <f>IFERROR(__xludf.DUMMYFUNCTION("""COMPUTED_VALUE"""),"pedagogy")</f>
        <v>pedagogy</v>
      </c>
      <c r="D53" s="4" t="str">
        <f>IFERROR(__xludf.DUMMYFUNCTION("""COMPUTED_VALUE"""),"a good practice was turns around “small steps”.")</f>
        <v>a good practice was turns around “small steps”.</v>
      </c>
      <c r="E53" s="6"/>
      <c r="F53" s="6">
        <v>9.0</v>
      </c>
      <c r="G53" s="6" t="s">
        <v>83</v>
      </c>
      <c r="H53" s="22"/>
      <c r="I53" s="22" t="s">
        <v>12</v>
      </c>
    </row>
    <row r="54">
      <c r="A54" s="4">
        <f>IFERROR(__xludf.DUMMYFUNCTION("""COMPUTED_VALUE"""),52.0)</f>
        <v>52</v>
      </c>
      <c r="B54" s="4" t="str">
        <f>IFERROR(__xludf.DUMMYFUNCTION("TEXTJOIN("", "", true, filter('Paper Recommendations Quotes'!D:D,'Paper Recommendations Quotes'!F:F=D54))"),"16")</f>
        <v>16</v>
      </c>
      <c r="C54" s="4" t="str">
        <f>IFERROR(__xludf.DUMMYFUNCTION("""COMPUTED_VALUE"""),"pedagogy")</f>
        <v>pedagogy</v>
      </c>
      <c r="D54" s="4" t="str">
        <f>IFERROR(__xludf.DUMMYFUNCTION("""COMPUTED_VALUE"""),"Be clear on the outcome of the training.")</f>
        <v>Be clear on the outcome of the training.</v>
      </c>
      <c r="E54" s="6"/>
      <c r="F54" s="6">
        <v>183.0</v>
      </c>
      <c r="G54" s="6" t="s">
        <v>84</v>
      </c>
      <c r="H54" s="22"/>
      <c r="I54" s="22" t="s">
        <v>12</v>
      </c>
    </row>
    <row r="55">
      <c r="A55" s="4">
        <f>IFERROR(__xludf.DUMMYFUNCTION("""COMPUTED_VALUE"""),53.0)</f>
        <v>53</v>
      </c>
      <c r="B55" s="4" t="str">
        <f>IFERROR(__xludf.DUMMYFUNCTION("TEXTJOIN("", "", true, filter('Paper Recommendations Quotes'!D:D,'Paper Recommendations Quotes'!F:F=D55))"),"4")</f>
        <v>4</v>
      </c>
      <c r="C55" s="4" t="str">
        <f>IFERROR(__xludf.DUMMYFUNCTION("""COMPUTED_VALUE"""),"pedagogy")</f>
        <v>pedagogy</v>
      </c>
      <c r="D55" s="4" t="str">
        <f>IFERROR(__xludf.DUMMYFUNCTION("""COMPUTED_VALUE"""),"in particular a clear description of the technical-related objectives to be met.")</f>
        <v>in particular a clear description of the technical-related objectives to be met.</v>
      </c>
      <c r="E55" s="6"/>
      <c r="F55" s="6">
        <v>183.0</v>
      </c>
      <c r="G55" s="6" t="s">
        <v>84</v>
      </c>
      <c r="H55" s="22"/>
      <c r="I55" s="22" t="s">
        <v>12</v>
      </c>
    </row>
    <row r="56">
      <c r="A56" s="4">
        <f>IFERROR(__xludf.DUMMYFUNCTION("""COMPUTED_VALUE"""),54.0)</f>
        <v>54</v>
      </c>
      <c r="B56" s="4" t="str">
        <f>IFERROR(__xludf.DUMMYFUNCTION("TEXTJOIN("", "", true, filter('Paper Recommendations Quotes'!D:D,'Paper Recommendations Quotes'!F:F=D56))"),"9")</f>
        <v>9</v>
      </c>
      <c r="C56" s="4" t="str">
        <f>IFERROR(__xludf.DUMMYFUNCTION("""COMPUTED_VALUE"""),"pedagogy")</f>
        <v>pedagogy</v>
      </c>
      <c r="D56" s="4" t="str">
        <f>IFERROR(__xludf.DUMMYFUNCTION("""COMPUTED_VALUE"""),"Create the easygoing and trusting atmosphere amongst the students and the teachers.")</f>
        <v>Create the easygoing and trusting atmosphere amongst the students and the teachers.</v>
      </c>
      <c r="E56" s="6"/>
      <c r="F56" s="6" t="s">
        <v>85</v>
      </c>
      <c r="G56" s="6" t="s">
        <v>86</v>
      </c>
      <c r="H56" s="22"/>
      <c r="I56" s="22" t="s">
        <v>12</v>
      </c>
    </row>
    <row r="57">
      <c r="A57" s="4">
        <f>IFERROR(__xludf.DUMMYFUNCTION("""COMPUTED_VALUE"""),55.0)</f>
        <v>55</v>
      </c>
      <c r="B57" s="4" t="str">
        <f>IFERROR(__xludf.DUMMYFUNCTION("TEXTJOIN("", "", true, filter('Paper Recommendations Quotes'!D:D,'Paper Recommendations Quotes'!F:F=D57))"),"6, 13")</f>
        <v>6, 13</v>
      </c>
      <c r="C57" s="4" t="str">
        <f>IFERROR(__xludf.DUMMYFUNCTION("""COMPUTED_VALUE"""),"pedagogy")</f>
        <v>pedagogy</v>
      </c>
      <c r="D57" s="4" t="str">
        <f>IFERROR(__xludf.DUMMYFUNCTION("""COMPUTED_VALUE"""),"DevOps is the ideal candidate for non-traditional ways of teaching, such as peer instructions, flipped classroom, problem-based learning, among others.")</f>
        <v>DevOps is the ideal candidate for non-traditional ways of teaching, such as peer instructions, flipped classroom, problem-based learning, among others.</v>
      </c>
      <c r="E57" s="6"/>
      <c r="F57" s="6" t="s">
        <v>87</v>
      </c>
      <c r="G57" s="6" t="s">
        <v>88</v>
      </c>
      <c r="H57" s="22"/>
      <c r="I57" s="22" t="s">
        <v>12</v>
      </c>
    </row>
    <row r="58">
      <c r="A58" s="4">
        <f>IFERROR(__xludf.DUMMYFUNCTION("""COMPUTED_VALUE"""),56.0)</f>
        <v>56</v>
      </c>
      <c r="B58" s="4" t="str">
        <f>IFERROR(__xludf.DUMMYFUNCTION("TEXTJOIN("", "", true, filter('Paper Recommendations Quotes'!D:D,'Paper Recommendations Quotes'!F:F=D58))"),"15")</f>
        <v>15</v>
      </c>
      <c r="C58" s="4" t="str">
        <f>IFERROR(__xludf.DUMMYFUNCTION("""COMPUTED_VALUE"""),"pedagogy")</f>
        <v>pedagogy</v>
      </c>
      <c r="D58" s="4" t="str">
        <f>IFERROR(__xludf.DUMMYFUNCTION("""COMPUTED_VALUE"""),"Problem-based learning (PBL) method is the right pedagogical approach to tackle subjects like DevOps")</f>
        <v>Problem-based learning (PBL) method is the right pedagogical approach to tackle subjects like DevOps</v>
      </c>
      <c r="E58" s="6"/>
      <c r="F58" s="6">
        <v>112.0</v>
      </c>
      <c r="G58" s="6" t="s">
        <v>89</v>
      </c>
      <c r="H58" s="22"/>
      <c r="I58" s="22" t="s">
        <v>12</v>
      </c>
    </row>
    <row r="59">
      <c r="A59" s="4">
        <f>IFERROR(__xludf.DUMMYFUNCTION("""COMPUTED_VALUE"""),57.0)</f>
        <v>57</v>
      </c>
      <c r="B59" s="4" t="str">
        <f>IFERROR(__xludf.DUMMYFUNCTION("TEXTJOIN("", "", true, filter('Paper Recommendations Quotes'!D:D,'Paper Recommendations Quotes'!F:F=D59))"),"6, 13, 15")</f>
        <v>6, 13, 15</v>
      </c>
      <c r="C59" s="4" t="str">
        <f>IFERROR(__xludf.DUMMYFUNCTION("""COMPUTED_VALUE"""),"pedagogy")</f>
        <v>pedagogy</v>
      </c>
      <c r="D59" s="4" t="str">
        <f>IFERROR(__xludf.DUMMYFUNCTION("""COMPUTED_VALUE"""),"DevOps needs to be taught with practical labs.")</f>
        <v>DevOps needs to be taught with practical labs.</v>
      </c>
      <c r="E59" s="6"/>
      <c r="F59" s="6">
        <v>9.0</v>
      </c>
      <c r="G59" s="6" t="s">
        <v>90</v>
      </c>
      <c r="H59" s="22"/>
      <c r="I59" s="22" t="s">
        <v>12</v>
      </c>
    </row>
    <row r="60">
      <c r="A60" s="4">
        <f>IFERROR(__xludf.DUMMYFUNCTION("""COMPUTED_VALUE"""),58.0)</f>
        <v>58</v>
      </c>
      <c r="B60" s="4" t="str">
        <f>IFERROR(__xludf.DUMMYFUNCTION("TEXTJOIN("", "", true, filter('Paper Recommendations Quotes'!D:D,'Paper Recommendations Quotes'!F:F=D60))"),"14")</f>
        <v>14</v>
      </c>
      <c r="C60" s="4" t="str">
        <f>IFERROR(__xludf.DUMMYFUNCTION("""COMPUTED_VALUE"""),"pedagogy")</f>
        <v>pedagogy</v>
      </c>
      <c r="D60" s="4" t="str">
        <f>IFERROR(__xludf.DUMMYFUNCTION("""COMPUTED_VALUE"""),"To simulate real-life software engineering, the labs must be defined thanks to an open and informal specification expressed in business terms, and it will be up to the students to design the right architecture, implement it in an iterative way and support"&amp;" its deployment thanks to a continuous delivery pipeline.")</f>
        <v>To simulate real-life software engineering, the labs must be defined thanks to an open and informal specification expressed in business terms, and it will be up to the students to design the right architecture, implement it in an iterative way and support its deployment thanks to a continuous delivery pipeline.</v>
      </c>
      <c r="E60" s="6"/>
      <c r="F60" s="6">
        <v>53.0</v>
      </c>
      <c r="G60" s="6" t="s">
        <v>91</v>
      </c>
      <c r="H60" s="22"/>
      <c r="I60" s="22" t="s">
        <v>12</v>
      </c>
    </row>
    <row r="61">
      <c r="A61" s="4">
        <f>IFERROR(__xludf.DUMMYFUNCTION("""COMPUTED_VALUE"""),59.0)</f>
        <v>59</v>
      </c>
      <c r="B61" s="4" t="str">
        <f>IFERROR(__xludf.DUMMYFUNCTION("TEXTJOIN("", "", true, filter('Paper Recommendations Quotes'!D:D,'Paper Recommendations Quotes'!F:F=D61))"),"9")</f>
        <v>9</v>
      </c>
      <c r="C61" s="4" t="str">
        <f>IFERROR(__xludf.DUMMYFUNCTION("""COMPUTED_VALUE"""),"pedagogy")</f>
        <v>pedagogy</v>
      </c>
      <c r="D61" s="4" t="str">
        <f>IFERROR(__xludf.DUMMYFUNCTION("""COMPUTED_VALUE"""),"the practical and theoretical days would be mixed. ")</f>
        <v>the practical and theoretical days would be mixed. </v>
      </c>
      <c r="E61" s="6"/>
      <c r="F61" s="6">
        <v>67.0</v>
      </c>
      <c r="G61" s="6" t="s">
        <v>92</v>
      </c>
      <c r="H61" s="22"/>
      <c r="I61" s="22" t="s">
        <v>12</v>
      </c>
    </row>
    <row r="62">
      <c r="A62" s="4">
        <f>IFERROR(__xludf.DUMMYFUNCTION("""COMPUTED_VALUE"""),60.0)</f>
        <v>60</v>
      </c>
      <c r="B62" s="4" t="str">
        <f>IFERROR(__xludf.DUMMYFUNCTION("TEXTJOIN("", "", true, filter('Paper Recommendations Quotes'!D:D,'Paper Recommendations Quotes'!F:F=D62))"),"9")</f>
        <v>9</v>
      </c>
      <c r="C62" s="4" t="str">
        <f>IFERROR(__xludf.DUMMYFUNCTION("""COMPUTED_VALUE"""),"pedagogy")</f>
        <v>pedagogy</v>
      </c>
      <c r="D62" s="4" t="str">
        <f>IFERROR(__xludf.DUMMYFUNCTION("""COMPUTED_VALUE"""),"making the revision part more interactive and student-centered")</f>
        <v>making the revision part more interactive and student-centered</v>
      </c>
      <c r="E62" s="6"/>
      <c r="F62" s="6">
        <v>117.0</v>
      </c>
      <c r="G62" s="6" t="s">
        <v>80</v>
      </c>
      <c r="H62" s="22"/>
      <c r="I62" s="22" t="s">
        <v>10</v>
      </c>
    </row>
    <row r="63">
      <c r="A63" s="4">
        <f>IFERROR(__xludf.DUMMYFUNCTION("""COMPUTED_VALUE"""),61.0)</f>
        <v>61</v>
      </c>
      <c r="B63" s="4" t="str">
        <f>IFERROR(__xludf.DUMMYFUNCTION("TEXTJOIN("", "", true, filter('Paper Recommendations Quotes'!D:D,'Paper Recommendations Quotes'!F:F=D63))"),"17")</f>
        <v>17</v>
      </c>
      <c r="C63" s="4" t="str">
        <f>IFERROR(__xludf.DUMMYFUNCTION("""COMPUTED_VALUE"""),"pedagogy")</f>
        <v>pedagogy</v>
      </c>
      <c r="D63" s="4" t="str">
        <f>IFERROR(__xludf.DUMMYFUNCTION("""COMPUTED_VALUE"""),"We devised a customized Agile process to encourage both online and offline communication and collaboration ")</f>
        <v>We devised a customized Agile process to encourage both online and offline communication and collaboration </v>
      </c>
      <c r="E63" s="6"/>
      <c r="F63" s="6">
        <v>97.0</v>
      </c>
      <c r="G63" s="6" t="s">
        <v>93</v>
      </c>
      <c r="H63" s="22"/>
      <c r="I63" s="22" t="s">
        <v>12</v>
      </c>
    </row>
    <row r="64">
      <c r="A64" s="4">
        <f>IFERROR(__xludf.DUMMYFUNCTION("""COMPUTED_VALUE"""),62.0)</f>
        <v>62</v>
      </c>
      <c r="B64" s="4" t="str">
        <f>IFERROR(__xludf.DUMMYFUNCTION("TEXTJOIN("", "", true, filter('Paper Recommendations Quotes'!D:D,'Paper Recommendations Quotes'!F:F=D64))"),"4")</f>
        <v>4</v>
      </c>
      <c r="C64" s="4" t="str">
        <f>IFERROR(__xludf.DUMMYFUNCTION("""COMPUTED_VALUE"""),"pedagogy")</f>
        <v>pedagogy</v>
      </c>
      <c r="D64" s="4" t="str">
        <f>IFERROR(__xludf.DUMMYFUNCTION("""COMPUTED_VALUE"""),"request students to work in groups.")</f>
        <v>request students to work in groups.</v>
      </c>
      <c r="E64" s="6"/>
      <c r="F64" s="6">
        <v>114.0</v>
      </c>
      <c r="G64" s="6" t="s">
        <v>94</v>
      </c>
      <c r="H64" s="22"/>
      <c r="I64" s="22" t="s">
        <v>12</v>
      </c>
    </row>
    <row r="65">
      <c r="A65" s="4">
        <f>IFERROR(__xludf.DUMMYFUNCTION("""COMPUTED_VALUE"""),63.0)</f>
        <v>63</v>
      </c>
      <c r="B65" s="4" t="str">
        <f>IFERROR(__xludf.DUMMYFUNCTION("TEXTJOIN("", "", true, filter('Paper Recommendations Quotes'!D:D,'Paper Recommendations Quotes'!F:F=D65))"),"4")</f>
        <v>4</v>
      </c>
      <c r="C65" s="4" t="str">
        <f>IFERROR(__xludf.DUMMYFUNCTION("""COMPUTED_VALUE"""),"pedagogy")</f>
        <v>pedagogy</v>
      </c>
      <c r="D65" s="4" t="str">
        <f>IFERROR(__xludf.DUMMYFUNCTION("""COMPUTED_VALUE"""),"the course had to be designed to favour interactivity and student engagement.")</f>
        <v>the course had to be designed to favour interactivity and student engagement.</v>
      </c>
      <c r="E65" s="6"/>
      <c r="F65" s="6">
        <v>46.0</v>
      </c>
      <c r="G65" s="6" t="s">
        <v>95</v>
      </c>
      <c r="H65" s="22"/>
      <c r="I65" s="22" t="s">
        <v>12</v>
      </c>
    </row>
    <row r="66">
      <c r="A66" s="4">
        <f>IFERROR(__xludf.DUMMYFUNCTION("""COMPUTED_VALUE"""),64.0)</f>
        <v>64</v>
      </c>
      <c r="B66" s="4" t="str">
        <f>IFERROR(__xludf.DUMMYFUNCTION("TEXTJOIN("", "", true, filter('Paper Recommendations Quotes'!D:D,'Paper Recommendations Quotes'!F:F=D66))"),"13")</f>
        <v>13</v>
      </c>
      <c r="C66" s="4" t="str">
        <f>IFERROR(__xludf.DUMMYFUNCTION("""COMPUTED_VALUE"""),"pedagogy")</f>
        <v>pedagogy</v>
      </c>
      <c r="D66" s="4" t="str">
        <f>IFERROR(__xludf.DUMMYFUNCTION("""COMPUTED_VALUE"""),"teaching methods that emphasize programing process and realistic context as well as using performant virtualization environments.")</f>
        <v>teaching methods that emphasize programing process and realistic context as well as using performant virtualization environments.</v>
      </c>
      <c r="E66" s="6"/>
      <c r="F66" s="6"/>
      <c r="G66" s="6"/>
      <c r="H66" s="22"/>
      <c r="I66" s="22"/>
    </row>
    <row r="67">
      <c r="A67" s="4">
        <f>IFERROR(__xludf.DUMMYFUNCTION("""COMPUTED_VALUE"""),65.0)</f>
        <v>65</v>
      </c>
      <c r="B67" s="4" t="str">
        <f>IFERROR(__xludf.DUMMYFUNCTION("TEXTJOIN("", "", true, filter('Paper Recommendations Quotes'!D:D,'Paper Recommendations Quotes'!F:F=D67))"),"11")</f>
        <v>11</v>
      </c>
      <c r="C67" s="4" t="str">
        <f>IFERROR(__xludf.DUMMYFUNCTION("""COMPUTED_VALUE"""),"pedagogy")</f>
        <v>pedagogy</v>
      </c>
      <c r="D67" s="4" t="str">
        <f>IFERROR(__xludf.DUMMYFUNCTION("""COMPUTED_VALUE"""),"Using a cross functional team to introduce the workflows minimizes the additional work for the teaching assistants.")</f>
        <v>Using a cross functional team to introduce the workflows minimizes the additional work for the teaching assistants.</v>
      </c>
      <c r="E67" s="6"/>
      <c r="F67" s="6"/>
      <c r="G67" s="6"/>
      <c r="H67" s="22"/>
      <c r="I67" s="22"/>
    </row>
    <row r="68">
      <c r="A68" s="4">
        <f>IFERROR(__xludf.DUMMYFUNCTION("""COMPUTED_VALUE"""),66.0)</f>
        <v>66</v>
      </c>
      <c r="B68" s="4" t="str">
        <f>IFERROR(__xludf.DUMMYFUNCTION("TEXTJOIN("", "", true, filter('Paper Recommendations Quotes'!D:D,'Paper Recommendations Quotes'!F:F=D68))"),"6")</f>
        <v>6</v>
      </c>
      <c r="C68" s="4" t="str">
        <f>IFERROR(__xludf.DUMMYFUNCTION("""COMPUTED_VALUE"""),"pedagogy")</f>
        <v>pedagogy</v>
      </c>
      <c r="D68" s="4" t="str">
        <f>IFERROR(__xludf.DUMMYFUNCTION("""COMPUTED_VALUE"""),"try to bring industry partners into the course.")</f>
        <v>try to bring industry partners into the course.</v>
      </c>
      <c r="E68" s="6"/>
      <c r="F68" s="6">
        <v>187.0</v>
      </c>
      <c r="G68" s="6" t="s">
        <v>96</v>
      </c>
      <c r="H68" s="22"/>
      <c r="I68" s="22" t="s">
        <v>12</v>
      </c>
    </row>
    <row r="69">
      <c r="A69" s="4">
        <f>IFERROR(__xludf.DUMMYFUNCTION("""COMPUTED_VALUE"""),67.0)</f>
        <v>67</v>
      </c>
      <c r="B69" s="4" t="str">
        <f>IFERROR(__xludf.DUMMYFUNCTION("TEXTJOIN("", "", true, filter('Paper Recommendations Quotes'!D:D,'Paper Recommendations Quotes'!F:F=D69))"),"9")</f>
        <v>9</v>
      </c>
      <c r="C69" s="4" t="str">
        <f>IFERROR(__xludf.DUMMYFUNCTION("""COMPUTED_VALUE"""),"pedagogy")</f>
        <v>pedagogy</v>
      </c>
      <c r="D69" s="4" t="str">
        <f>IFERROR(__xludf.DUMMYFUNCTION("""COMPUTED_VALUE"""),"the design and execution of a DevOps and Continuous Delivery course organized in industry-university collaboration.")</f>
        <v>the design and execution of a DevOps and Continuous Delivery course organized in industry-university collaboration.</v>
      </c>
      <c r="E69" s="6"/>
      <c r="F69" s="6">
        <v>187.0</v>
      </c>
      <c r="G69" s="6" t="s">
        <v>96</v>
      </c>
      <c r="H69" s="22"/>
      <c r="I69" s="22" t="s">
        <v>12</v>
      </c>
    </row>
    <row r="70">
      <c r="A70" s="4">
        <f>IFERROR(__xludf.DUMMYFUNCTION("""COMPUTED_VALUE"""),68.0)</f>
        <v>68</v>
      </c>
      <c r="B70" s="4" t="str">
        <f>IFERROR(__xludf.DUMMYFUNCTION("TEXTJOIN("", "", true, filter('Paper Recommendations Quotes'!D:D,'Paper Recommendations Quotes'!F:F=D70))"),"15")</f>
        <v>15</v>
      </c>
      <c r="C70" s="4" t="str">
        <f>IFERROR(__xludf.DUMMYFUNCTION("""COMPUTED_VALUE"""),"pedagogy")</f>
        <v>pedagogy</v>
      </c>
      <c r="D70" s="4" t="str">
        <f>IFERROR(__xludf.DUMMYFUNCTION("""COMPUTED_VALUE"""),"the most effective training for DevOps and Agile were those in which the audience consisted of both management and developers.")</f>
        <v>the most effective training for DevOps and Agile were those in which the audience consisted of both management and developers.</v>
      </c>
      <c r="E70" s="6"/>
      <c r="F70" s="6"/>
      <c r="G70" s="6"/>
      <c r="H70" s="22"/>
      <c r="I70" s="22"/>
    </row>
    <row r="71">
      <c r="A71" s="4">
        <f>IFERROR(__xludf.DUMMYFUNCTION("""COMPUTED_VALUE"""),69.0)</f>
        <v>69</v>
      </c>
      <c r="B71" s="4" t="str">
        <f>IFERROR(__xludf.DUMMYFUNCTION("TEXTJOIN("", "", true, filter('Paper Recommendations Quotes'!D:D,'Paper Recommendations Quotes'!F:F=D71))"),"15")</f>
        <v>15</v>
      </c>
      <c r="C71" s="4" t="str">
        <f>IFERROR(__xludf.DUMMYFUNCTION("""COMPUTED_VALUE"""),"pedagogy")</f>
        <v>pedagogy</v>
      </c>
      <c r="D71" s="4" t="str">
        <f>IFERROR(__xludf.DUMMYFUNCTION("""COMPUTED_VALUE"""),"The primary objective is to educate DevOps ambassadors.")</f>
        <v>The primary objective is to educate DevOps ambassadors.</v>
      </c>
      <c r="E71" s="6"/>
      <c r="F71" s="6">
        <v>144.0</v>
      </c>
      <c r="G71" s="6" t="s">
        <v>55</v>
      </c>
      <c r="H71" s="22"/>
      <c r="I71" s="22" t="s">
        <v>12</v>
      </c>
    </row>
    <row r="72">
      <c r="A72" s="4">
        <f>IFERROR(__xludf.DUMMYFUNCTION("""COMPUTED_VALUE"""),70.0)</f>
        <v>70</v>
      </c>
      <c r="B72" s="4" t="str">
        <f>IFERROR(__xludf.DUMMYFUNCTION("TEXTJOIN("", "", true, filter('Paper Recommendations Quotes'!D:D,'Paper Recommendations Quotes'!F:F=D72))"),"16")</f>
        <v>16</v>
      </c>
      <c r="C72" s="4" t="str">
        <f>IFERROR(__xludf.DUMMYFUNCTION("""COMPUTED_VALUE"""),"pedagogy")</f>
        <v>pedagogy</v>
      </c>
      <c r="D72" s="4" t="str">
        <f>IFERROR(__xludf.DUMMYFUNCTION("""COMPUTED_VALUE"""),"training is of paramount importance to establish a common background for all the different groups, including the management.")</f>
        <v>training is of paramount importance to establish a common background for all the different groups, including the management.</v>
      </c>
      <c r="E72" s="6"/>
      <c r="F72" s="6"/>
      <c r="G72" s="6"/>
      <c r="H72" s="22"/>
      <c r="I72" s="22"/>
    </row>
    <row r="73">
      <c r="A73" s="4">
        <f>IFERROR(__xludf.DUMMYFUNCTION("""COMPUTED_VALUE"""),71.0)</f>
        <v>71</v>
      </c>
      <c r="B73" s="4" t="str">
        <f>IFERROR(__xludf.DUMMYFUNCTION("TEXTJOIN("", "", true, filter('Paper Recommendations Quotes'!D:D,'Paper Recommendations Quotes'!F:F=D73))"),"15")</f>
        <v>15</v>
      </c>
      <c r="C73" s="4" t="str">
        <f>IFERROR(__xludf.DUMMYFUNCTION("""COMPUTED_VALUE"""),"pedagogy")</f>
        <v>pedagogy</v>
      </c>
      <c r="D73" s="4" t="str">
        <f>IFERROR(__xludf.DUMMYFUNCTION("""COMPUTED_VALUE"""),"it is important not to focus all the training activity as a frontal session university-like. ")</f>
        <v>it is important not to focus all the training activity as a frontal session university-like. </v>
      </c>
      <c r="E73" s="6"/>
      <c r="F73" s="6">
        <v>9.0</v>
      </c>
      <c r="G73" s="6" t="s">
        <v>90</v>
      </c>
      <c r="H73" s="22"/>
      <c r="I73" s="22" t="s">
        <v>12</v>
      </c>
    </row>
    <row r="74">
      <c r="A74" s="4">
        <f>IFERROR(__xludf.DUMMYFUNCTION("""COMPUTED_VALUE"""),72.0)</f>
        <v>72</v>
      </c>
      <c r="B74" s="4" t="str">
        <f>IFERROR(__xludf.DUMMYFUNCTION("TEXTJOIN("", "", true, filter('Paper Recommendations Quotes'!D:D,'Paper Recommendations Quotes'!F:F=D74))"),"18")</f>
        <v>18</v>
      </c>
      <c r="C74" s="4" t="str">
        <f>IFERROR(__xludf.DUMMYFUNCTION("""COMPUTED_VALUE"""),"pedagogy")</f>
        <v>pedagogy</v>
      </c>
      <c r="D74" s="4" t="str">
        <f>IFERROR(__xludf.DUMMYFUNCTION("""COMPUTED_VALUE"""),"The teachers can monitor students’progress through Jenkins")</f>
        <v>The teachers can monitor students’progress through Jenkins</v>
      </c>
      <c r="E74" s="6"/>
      <c r="F74" s="6">
        <v>18.0</v>
      </c>
      <c r="G74" s="6" t="s">
        <v>71</v>
      </c>
      <c r="H74" s="22"/>
      <c r="I74" s="22" t="s">
        <v>12</v>
      </c>
    </row>
    <row r="75">
      <c r="A75" s="4">
        <f>IFERROR(__xludf.DUMMYFUNCTION("""COMPUTED_VALUE"""),73.0)</f>
        <v>73</v>
      </c>
      <c r="B75" s="4" t="str">
        <f>IFERROR(__xludf.DUMMYFUNCTION("TEXTJOIN("", "", true, filter('Paper Recommendations Quotes'!D:D,'Paper Recommendations Quotes'!F:F=D75))"),"1")</f>
        <v>1</v>
      </c>
      <c r="C75" s="4" t="str">
        <f>IFERROR(__xludf.DUMMYFUNCTION("""COMPUTED_VALUE"""),"pedagogy")</f>
        <v>pedagogy</v>
      </c>
      <c r="D75" s="4" t="str">
        <f>IFERROR(__xludf.DUMMYFUNCTION("""COMPUTED_VALUE"""),"provide detailed instructions within the activity for both the command line interface and the graphical interface.")</f>
        <v>provide detailed instructions within the activity for both the command line interface and the graphical interface.</v>
      </c>
      <c r="E75" s="6"/>
      <c r="F75" s="6" t="s">
        <v>97</v>
      </c>
      <c r="G75" s="6" t="s">
        <v>98</v>
      </c>
      <c r="H75" s="22"/>
      <c r="I75" s="22" t="s">
        <v>12</v>
      </c>
    </row>
    <row r="76">
      <c r="A76" s="4">
        <f>IFERROR(__xludf.DUMMYFUNCTION("""COMPUTED_VALUE"""),74.0)</f>
        <v>74</v>
      </c>
      <c r="B76" s="4" t="str">
        <f>IFERROR(__xludf.DUMMYFUNCTION("TEXTJOIN("", "", true, filter('Paper Recommendations Quotes'!D:D,'Paper Recommendations Quotes'!F:F=D76))"),"11")</f>
        <v>11</v>
      </c>
      <c r="C76" s="4" t="str">
        <f>IFERROR(__xludf.DUMMYFUNCTION("""COMPUTED_VALUE"""),"pedagogy")</f>
        <v>pedagogy</v>
      </c>
      <c r="D76" s="4" t="str">
        <f>IFERROR(__xludf.DUMMYFUNCTION("""COMPUTED_VALUE"""),"feedback mechanism in our delivery server do not have the same quality as personal interaction because they are asynchronous and in written form.")</f>
        <v>feedback mechanism in our delivery server do not have the same quality as personal interaction because they are asynchronous and in written form.</v>
      </c>
      <c r="E76" s="6"/>
      <c r="F76" s="6">
        <v>18.0</v>
      </c>
      <c r="G76" s="6" t="s">
        <v>71</v>
      </c>
      <c r="H76" s="22"/>
      <c r="I76" s="22" t="s">
        <v>10</v>
      </c>
    </row>
    <row r="77">
      <c r="A77" s="4">
        <f>IFERROR(__xludf.DUMMYFUNCTION("""COMPUTED_VALUE"""),75.0)</f>
        <v>75</v>
      </c>
      <c r="B77" s="4" t="str">
        <f>IFERROR(__xludf.DUMMYFUNCTION("TEXTJOIN("", "", true, filter('Paper Recommendations Quotes'!D:D,'Paper Recommendations Quotes'!F:F=D77))"),"14")</f>
        <v>14</v>
      </c>
      <c r="C77" s="4" t="str">
        <f>IFERROR(__xludf.DUMMYFUNCTION("""COMPUTED_VALUE"""),"tools")</f>
        <v>tools</v>
      </c>
      <c r="D77" s="4" t="str">
        <f>IFERROR(__xludf.DUMMYFUNCTION("""COMPUTED_VALUE"""),"We push students to stop being consumers of tools, and instead become DevOps architects able to identify what is necessary and how tools from the state of practice can be assembled to support a given project.")</f>
        <v>We push students to stop being consumers of tools, and instead become DevOps architects able to identify what is necessary and how tools from the state of practice can be assembled to support a given project.</v>
      </c>
      <c r="E77" s="6"/>
      <c r="F77" s="6">
        <v>75.0</v>
      </c>
      <c r="G77" s="6" t="s">
        <v>99</v>
      </c>
      <c r="H77" s="22"/>
      <c r="I77" s="22" t="s">
        <v>12</v>
      </c>
    </row>
    <row r="78">
      <c r="A78" s="4">
        <f>IFERROR(__xludf.DUMMYFUNCTION("""COMPUTED_VALUE"""),76.0)</f>
        <v>76</v>
      </c>
      <c r="B78" s="4" t="str">
        <f>IFERROR(__xludf.DUMMYFUNCTION("TEXTJOIN("", "", true, filter('Paper Recommendations Quotes'!D:D,'Paper Recommendations Quotes'!F:F=D78))"),"1")</f>
        <v>1</v>
      </c>
      <c r="C78" s="4" t="str">
        <f>IFERROR(__xludf.DUMMYFUNCTION("""COMPUTED_VALUE"""),"tools")</f>
        <v>tools</v>
      </c>
      <c r="D78" s="4" t="str">
        <f>IFERROR(__xludf.DUMMYFUNCTION("""COMPUTED_VALUE"""),"They will need to familiarize themselves with the technologies before the start of the activity.")</f>
        <v>They will need to familiarize themselves with the technologies before the start of the activity.</v>
      </c>
      <c r="E78" s="6"/>
      <c r="F78" s="6">
        <v>105.0</v>
      </c>
      <c r="G78" s="6" t="s">
        <v>100</v>
      </c>
      <c r="H78" s="22"/>
      <c r="I78" s="22" t="s">
        <v>10</v>
      </c>
    </row>
    <row r="79">
      <c r="A79" s="4">
        <f>IFERROR(__xludf.DUMMYFUNCTION("""COMPUTED_VALUE"""),77.0)</f>
        <v>77</v>
      </c>
      <c r="B79" s="4" t="str">
        <f>IFERROR(__xludf.DUMMYFUNCTION("TEXTJOIN("", "", true, filter('Paper Recommendations Quotes'!D:D,'Paper Recommendations Quotes'!F:F=D79))"),"1")</f>
        <v>1</v>
      </c>
      <c r="C79" s="4" t="str">
        <f>IFERROR(__xludf.DUMMYFUNCTION("""COMPUTED_VALUE"""),"tools")</f>
        <v>tools</v>
      </c>
      <c r="D79" s="4" t="str">
        <f>IFERROR(__xludf.DUMMYFUNCTION("""COMPUTED_VALUE"""),"The design of the system is meant to be simple")</f>
        <v>The design of the system is meant to be simple</v>
      </c>
      <c r="E79" s="6"/>
      <c r="F79" s="6">
        <v>76.0</v>
      </c>
      <c r="G79" s="6" t="s">
        <v>101</v>
      </c>
      <c r="H79" s="22"/>
      <c r="I79" s="22" t="s">
        <v>12</v>
      </c>
    </row>
    <row r="80">
      <c r="A80" s="4">
        <f>IFERROR(__xludf.DUMMYFUNCTION("""COMPUTED_VALUE"""),78.0)</f>
        <v>78</v>
      </c>
      <c r="B80" s="4" t="str">
        <f>IFERROR(__xludf.DUMMYFUNCTION("TEXTJOIN("", "", true, filter('Paper Recommendations Quotes'!D:D,'Paper Recommendations Quotes'!F:F=D80))"),"17")</f>
        <v>17</v>
      </c>
      <c r="C80" s="4" t="str">
        <f>IFERROR(__xludf.DUMMYFUNCTION("""COMPUTED_VALUE"""),"tools")</f>
        <v>tools</v>
      </c>
      <c r="D80" s="4" t="str">
        <f>IFERROR(__xludf.DUMMYFUNCTION("""COMPUTED_VALUE"""),"Automatic tools are thus demanded to facilitate project data collection and analysis.")</f>
        <v>Automatic tools are thus demanded to facilitate project data collection and analysis.</v>
      </c>
      <c r="E80" s="6"/>
      <c r="F80" s="6"/>
      <c r="G80" s="6"/>
      <c r="H80" s="22"/>
      <c r="I80" s="22"/>
    </row>
    <row r="81">
      <c r="A81" s="4">
        <f>IFERROR(__xludf.DUMMYFUNCTION("""COMPUTED_VALUE"""),79.0)</f>
        <v>79</v>
      </c>
      <c r="B81" s="4" t="str">
        <f>IFERROR(__xludf.DUMMYFUNCTION("TEXTJOIN("", "", true, filter('Paper Recommendations Quotes'!D:D,'Paper Recommendations Quotes'!F:F=D81))"),"17")</f>
        <v>17</v>
      </c>
      <c r="C81" s="4" t="str">
        <f>IFERROR(__xludf.DUMMYFUNCTION("""COMPUTED_VALUE"""),"tools")</f>
        <v>tools</v>
      </c>
      <c r="D81" s="4" t="str">
        <f>IFERROR(__xludf.DUMMYFUNCTION("""COMPUTED_VALUE"""),"We designed various automatically generated reports to provide timely feedback to students, customers, and TAs.")</f>
        <v>We designed various automatically generated reports to provide timely feedback to students, customers, and TAs.</v>
      </c>
      <c r="E81" s="6"/>
      <c r="F81" s="6"/>
      <c r="G81" s="6"/>
      <c r="H81" s="22"/>
      <c r="I81" s="22"/>
    </row>
    <row r="82">
      <c r="A82" s="4">
        <f>IFERROR(__xludf.DUMMYFUNCTION("""COMPUTED_VALUE"""),80.0)</f>
        <v>80</v>
      </c>
      <c r="B82" s="4" t="str">
        <f>IFERROR(__xludf.DUMMYFUNCTION("TEXTJOIN("", "", true, filter('Paper Recommendations Quotes'!D:D,'Paper Recommendations Quotes'!F:F=D82))"),"18")</f>
        <v>18</v>
      </c>
      <c r="C82" s="4" t="str">
        <f>IFERROR(__xludf.DUMMYFUNCTION("""COMPUTED_VALUE"""),"tools")</f>
        <v>tools</v>
      </c>
      <c r="D82" s="4" t="str">
        <f>IFERROR(__xludf.DUMMYFUNCTION("""COMPUTED_VALUE"""),"ALECCS can automatically check the submitted codes so that students (as individual or team member) can check the results and correct their projects quickly.")</f>
        <v>ALECCS can automatically check the submitted codes so that students (as individual or team member) can check the results and correct their projects quickly.</v>
      </c>
      <c r="E82" s="6"/>
      <c r="F82" s="6">
        <v>15.0</v>
      </c>
      <c r="G82" s="6" t="s">
        <v>102</v>
      </c>
      <c r="H82" s="22"/>
      <c r="I82" s="22" t="s">
        <v>12</v>
      </c>
    </row>
    <row r="83">
      <c r="A83" s="4">
        <f>IFERROR(__xludf.DUMMYFUNCTION("""COMPUTED_VALUE"""),81.0)</f>
        <v>81</v>
      </c>
      <c r="B83" s="4" t="str">
        <f>IFERROR(__xludf.DUMMYFUNCTION("TEXTJOIN("", "", true, filter('Paper Recommendations Quotes'!D:D,'Paper Recommendations Quotes'!F:F=D83))"),"12")</f>
        <v>12</v>
      </c>
      <c r="C83" s="4" t="str">
        <f>IFERROR(__xludf.DUMMYFUNCTION("""COMPUTED_VALUE"""),"tools")</f>
        <v>tools</v>
      </c>
      <c r="D83" s="4" t="str">
        <f>IFERROR(__xludf.DUMMYFUNCTION("""COMPUTED_VALUE"""),"ALECSS is also useful to reduce manual checking load of the teacher. ALECSS automatically detects much more warnings than manual checking.")</f>
        <v>ALECSS is also useful to reduce manual checking load of the teacher. ALECSS automatically detects much more warnings than manual checking.</v>
      </c>
      <c r="E83" s="6"/>
      <c r="F83" s="6">
        <v>15.0</v>
      </c>
      <c r="G83" s="6" t="s">
        <v>102</v>
      </c>
      <c r="H83" s="22"/>
      <c r="I83" s="22" t="s">
        <v>12</v>
      </c>
    </row>
    <row r="84">
      <c r="A84" s="4">
        <f>IFERROR(__xludf.DUMMYFUNCTION("""COMPUTED_VALUE"""),82.0)</f>
        <v>82</v>
      </c>
      <c r="B84" s="4" t="str">
        <f>IFERROR(__xludf.DUMMYFUNCTION("TEXTJOIN("", "", true, filter('Paper Recommendations Quotes'!D:D,'Paper Recommendations Quotes'!F:F=D84))"),"13")</f>
        <v>13</v>
      </c>
      <c r="C84" s="4" t="str">
        <f>IFERROR(__xludf.DUMMYFUNCTION("""COMPUTED_VALUE"""),"tools")</f>
        <v>tools</v>
      </c>
      <c r="D84" s="4" t="str">
        <f>IFERROR(__xludf.DUMMYFUNCTION("""COMPUTED_VALUE"""),"The analysis that led to choosing Docker as virtualization engine turned out to be correct.")</f>
        <v>The analysis that led to choosing Docker as virtualization engine turned out to be correct.</v>
      </c>
      <c r="E84" s="6"/>
      <c r="F84" s="6">
        <v>124.0</v>
      </c>
      <c r="G84" s="6" t="s">
        <v>103</v>
      </c>
      <c r="H84" s="22"/>
      <c r="I84" s="22" t="s">
        <v>12</v>
      </c>
    </row>
    <row r="85">
      <c r="A85" s="4">
        <f>IFERROR(__xludf.DUMMYFUNCTION("""COMPUTED_VALUE"""),83.0)</f>
        <v>83</v>
      </c>
      <c r="B85" s="4" t="str">
        <f>IFERROR(__xludf.DUMMYFUNCTION("TEXTJOIN("", "", true, filter('Paper Recommendations Quotes'!D:D,'Paper Recommendations Quotes'!F:F=D85))"),"10")</f>
        <v>10</v>
      </c>
      <c r="C85" s="4" t="str">
        <f>IFERROR(__xludf.DUMMYFUNCTION("""COMPUTED_VALUE"""),"tools")</f>
        <v>tools</v>
      </c>
      <c r="D85" s="4" t="str">
        <f>IFERROR(__xludf.DUMMYFUNCTION("""COMPUTED_VALUE"""),"Amazon Web Services (AWS) would remedy high computer power need by porting the test and production environment the Amazon Cloud. ")</f>
        <v>Amazon Web Services (AWS) would remedy high computer power need by porting the test and production environment the Amazon Cloud. </v>
      </c>
      <c r="E85" s="6"/>
      <c r="F85" s="6">
        <v>1.0</v>
      </c>
      <c r="G85" s="6" t="s">
        <v>104</v>
      </c>
      <c r="H85" s="22"/>
      <c r="I85" s="22" t="s">
        <v>12</v>
      </c>
    </row>
    <row r="86">
      <c r="A86" s="4">
        <f>IFERROR(__xludf.DUMMYFUNCTION("""COMPUTED_VALUE"""),84.0)</f>
        <v>84</v>
      </c>
      <c r="B86" s="4" t="str">
        <f>IFERROR(__xludf.DUMMYFUNCTION("TEXTJOIN("", "", true, filter('Paper Recommendations Quotes'!D:D,'Paper Recommendations Quotes'!F:F=D86))"),"1")</f>
        <v>1</v>
      </c>
      <c r="C86" s="4" t="str">
        <f>IFERROR(__xludf.DUMMYFUNCTION("""COMPUTED_VALUE"""),"tools")</f>
        <v>tools</v>
      </c>
      <c r="D86" s="4" t="str">
        <f>IFERROR(__xludf.DUMMYFUNCTION("""COMPUTED_VALUE"""),"students to gain familiarity with the command line interface for version control before beginning the activity.")</f>
        <v>students to gain familiarity with the command line interface for version control before beginning the activity.</v>
      </c>
      <c r="E86" s="6"/>
      <c r="F86" s="6">
        <v>121.0</v>
      </c>
      <c r="G86" s="6" t="s">
        <v>100</v>
      </c>
      <c r="H86" s="22"/>
      <c r="I86" s="22" t="s">
        <v>10</v>
      </c>
    </row>
    <row r="87">
      <c r="A87" s="4">
        <f>IFERROR(__xludf.DUMMYFUNCTION("""COMPUTED_VALUE"""),85.0)</f>
        <v>85</v>
      </c>
      <c r="B87" s="4" t="str">
        <f>IFERROR(__xludf.DUMMYFUNCTION("TEXTJOIN("", "", true, filter('Paper Recommendations Quotes'!D:D,'Paper Recommendations Quotes'!F:F=D87))"),"1")</f>
        <v>1</v>
      </c>
      <c r="C87" s="4" t="str">
        <f>IFERROR(__xludf.DUMMYFUNCTION("""COMPUTED_VALUE"""),"tools")</f>
        <v>tools</v>
      </c>
      <c r="D87" s="4" t="str">
        <f>IFERROR(__xludf.DUMMYFUNCTION("""COMPUTED_VALUE"""),"special attention should be paid to the static analysis stage during the activity.")</f>
        <v>special attention should be paid to the static analysis stage during the activity.</v>
      </c>
      <c r="E87" s="6"/>
      <c r="F87" s="6"/>
      <c r="G87" s="6"/>
      <c r="H87" s="22"/>
      <c r="I87" s="22"/>
    </row>
  </sheetData>
  <mergeCells count="2">
    <mergeCell ref="A1:D1"/>
    <mergeCell ref="F1:G1"/>
  </mergeCells>
  <dataValidations>
    <dataValidation type="list" allowBlank="1" sqref="I3:I37 I39 I43:I46 I48:I50 I52:I65 I68:I69 I71 I73:I87">
      <formula1>"yes,no"</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95.71"/>
    <col customWidth="1" min="2" max="2" width="14.14"/>
    <col customWidth="1" min="3" max="3" width="9.57"/>
    <col customWidth="1" min="4" max="4" width="7.29"/>
    <col customWidth="1" min="5" max="5" width="26.0"/>
    <col customWidth="1" min="6" max="6" width="44.43"/>
  </cols>
  <sheetData>
    <row r="1">
      <c r="A1" s="23" t="s">
        <v>105</v>
      </c>
      <c r="B1" s="24" t="s">
        <v>106</v>
      </c>
      <c r="C1" s="24" t="s">
        <v>2</v>
      </c>
      <c r="D1" s="25" t="s">
        <v>107</v>
      </c>
      <c r="E1" s="26" t="s">
        <v>4</v>
      </c>
      <c r="F1" s="27" t="s">
        <v>5</v>
      </c>
    </row>
    <row r="2">
      <c r="A2" s="4" t="s">
        <v>108</v>
      </c>
      <c r="B2" s="11"/>
      <c r="C2" s="4">
        <v>1.0</v>
      </c>
      <c r="D2" s="28">
        <v>9.0</v>
      </c>
      <c r="E2" s="12" t="s">
        <v>109</v>
      </c>
      <c r="F2" s="29" t="s">
        <v>110</v>
      </c>
    </row>
    <row r="3">
      <c r="A3" s="4" t="s">
        <v>111</v>
      </c>
      <c r="B3" s="11"/>
      <c r="C3" s="4">
        <v>2.0</v>
      </c>
      <c r="D3" s="28">
        <v>13.0</v>
      </c>
      <c r="E3" s="12" t="s">
        <v>109</v>
      </c>
      <c r="F3" s="29" t="s">
        <v>112</v>
      </c>
    </row>
    <row r="4">
      <c r="A4" s="4" t="s">
        <v>113</v>
      </c>
      <c r="B4" s="11"/>
      <c r="C4" s="4">
        <v>3.0</v>
      </c>
      <c r="D4" s="28">
        <v>7.0</v>
      </c>
      <c r="E4" s="12" t="s">
        <v>109</v>
      </c>
      <c r="F4" s="29" t="s">
        <v>114</v>
      </c>
    </row>
    <row r="5">
      <c r="A5" s="13" t="s">
        <v>115</v>
      </c>
      <c r="B5" s="11"/>
      <c r="C5" s="4">
        <v>4.0</v>
      </c>
      <c r="D5" s="28">
        <v>4.0</v>
      </c>
      <c r="E5" s="12" t="s">
        <v>109</v>
      </c>
      <c r="F5" s="29" t="s">
        <v>116</v>
      </c>
    </row>
    <row r="6">
      <c r="A6" s="4" t="s">
        <v>117</v>
      </c>
      <c r="B6" s="11"/>
      <c r="C6" s="4">
        <v>5.0</v>
      </c>
      <c r="D6" s="28">
        <v>9.0</v>
      </c>
      <c r="E6" s="12" t="s">
        <v>109</v>
      </c>
      <c r="F6" s="29" t="s">
        <v>118</v>
      </c>
    </row>
    <row r="7">
      <c r="A7" s="13" t="s">
        <v>119</v>
      </c>
      <c r="B7" s="30"/>
      <c r="C7" s="4">
        <v>6.0</v>
      </c>
      <c r="D7" s="31">
        <v>3.0</v>
      </c>
      <c r="E7" s="12" t="s">
        <v>109</v>
      </c>
      <c r="F7" s="29" t="s">
        <v>120</v>
      </c>
    </row>
    <row r="8">
      <c r="A8" s="4" t="s">
        <v>121</v>
      </c>
      <c r="B8" s="11"/>
      <c r="C8" s="4">
        <v>7.0</v>
      </c>
      <c r="D8" s="28">
        <v>13.0</v>
      </c>
      <c r="E8" s="12" t="s">
        <v>109</v>
      </c>
      <c r="F8" s="29" t="s">
        <v>122</v>
      </c>
    </row>
    <row r="9">
      <c r="A9" s="4" t="s">
        <v>123</v>
      </c>
      <c r="B9" s="11"/>
      <c r="C9" s="4">
        <v>8.0</v>
      </c>
      <c r="D9" s="28">
        <v>13.0</v>
      </c>
      <c r="E9" s="12" t="s">
        <v>109</v>
      </c>
      <c r="F9" s="29" t="s">
        <v>124</v>
      </c>
    </row>
    <row r="10">
      <c r="A10" s="4" t="s">
        <v>125</v>
      </c>
      <c r="B10" s="11"/>
      <c r="C10" s="4">
        <v>9.0</v>
      </c>
      <c r="D10" s="28">
        <v>13.0</v>
      </c>
      <c r="E10" s="12" t="s">
        <v>109</v>
      </c>
      <c r="F10" s="29" t="s">
        <v>126</v>
      </c>
    </row>
    <row r="11">
      <c r="A11" s="4" t="s">
        <v>127</v>
      </c>
      <c r="B11" s="11"/>
      <c r="C11" s="4">
        <v>10.0</v>
      </c>
      <c r="D11" s="28">
        <v>13.0</v>
      </c>
      <c r="E11" s="12" t="s">
        <v>109</v>
      </c>
      <c r="F11" s="29" t="s">
        <v>128</v>
      </c>
    </row>
    <row r="12">
      <c r="A12" s="4" t="s">
        <v>129</v>
      </c>
      <c r="B12" s="11"/>
      <c r="C12" s="4">
        <v>11.0</v>
      </c>
      <c r="D12" s="28">
        <v>13.0</v>
      </c>
      <c r="E12" s="12" t="s">
        <v>109</v>
      </c>
      <c r="F12" s="29" t="s">
        <v>130</v>
      </c>
    </row>
    <row r="13">
      <c r="A13" s="4" t="s">
        <v>131</v>
      </c>
      <c r="B13" s="11"/>
      <c r="C13" s="4">
        <v>12.0</v>
      </c>
      <c r="D13" s="28">
        <v>10.0</v>
      </c>
      <c r="E13" s="4" t="s">
        <v>132</v>
      </c>
      <c r="F13" s="29" t="s">
        <v>133</v>
      </c>
    </row>
    <row r="14">
      <c r="A14" s="4" t="s">
        <v>134</v>
      </c>
      <c r="B14" s="11" t="s">
        <v>135</v>
      </c>
      <c r="C14" s="4"/>
      <c r="D14" s="28">
        <v>13.0</v>
      </c>
      <c r="E14" s="4" t="s">
        <v>132</v>
      </c>
      <c r="F14" s="29" t="s">
        <v>133</v>
      </c>
    </row>
    <row r="15">
      <c r="A15" s="4" t="s">
        <v>136</v>
      </c>
      <c r="B15" s="11"/>
      <c r="C15" s="4">
        <v>13.0</v>
      </c>
      <c r="D15" s="28">
        <v>1.0</v>
      </c>
      <c r="E15" s="4" t="s">
        <v>132</v>
      </c>
      <c r="F15" s="32" t="s">
        <v>137</v>
      </c>
    </row>
    <row r="16">
      <c r="A16" s="4" t="s">
        <v>138</v>
      </c>
      <c r="B16" s="11"/>
      <c r="C16" s="4">
        <v>14.0</v>
      </c>
      <c r="D16" s="28">
        <v>6.0</v>
      </c>
      <c r="E16" s="4" t="s">
        <v>132</v>
      </c>
      <c r="F16" s="29" t="s">
        <v>139</v>
      </c>
    </row>
    <row r="17">
      <c r="A17" s="4" t="s">
        <v>140</v>
      </c>
      <c r="B17" s="11"/>
      <c r="C17" s="4">
        <v>15.0</v>
      </c>
      <c r="D17" s="28">
        <v>5.0</v>
      </c>
      <c r="E17" s="4" t="s">
        <v>132</v>
      </c>
      <c r="F17" s="32" t="s">
        <v>141</v>
      </c>
    </row>
    <row r="18">
      <c r="A18" s="33" t="s">
        <v>142</v>
      </c>
      <c r="B18" s="30"/>
      <c r="C18" s="13">
        <v>16.0</v>
      </c>
      <c r="D18" s="31">
        <v>9.0</v>
      </c>
      <c r="E18" s="12" t="s">
        <v>132</v>
      </c>
      <c r="F18" s="34" t="s">
        <v>143</v>
      </c>
    </row>
    <row r="19">
      <c r="A19" s="35" t="s">
        <v>144</v>
      </c>
      <c r="B19" s="30"/>
      <c r="C19" s="13">
        <v>17.0</v>
      </c>
      <c r="D19" s="31">
        <v>4.0</v>
      </c>
      <c r="E19" s="12" t="s">
        <v>132</v>
      </c>
      <c r="F19" s="29" t="s">
        <v>145</v>
      </c>
    </row>
    <row r="20">
      <c r="A20" s="4" t="s">
        <v>146</v>
      </c>
      <c r="B20" s="11"/>
      <c r="C20" s="4">
        <v>18.0</v>
      </c>
      <c r="D20" s="28">
        <v>16.0</v>
      </c>
      <c r="E20" s="12" t="s">
        <v>132</v>
      </c>
      <c r="F20" s="29" t="s">
        <v>147</v>
      </c>
    </row>
    <row r="21">
      <c r="A21" s="4" t="s">
        <v>148</v>
      </c>
      <c r="B21" s="11"/>
      <c r="C21" s="4">
        <v>19.0</v>
      </c>
      <c r="D21" s="28">
        <v>16.0</v>
      </c>
      <c r="E21" s="12" t="s">
        <v>132</v>
      </c>
      <c r="F21" s="29" t="s">
        <v>149</v>
      </c>
    </row>
    <row r="22">
      <c r="A22" s="4" t="s">
        <v>150</v>
      </c>
      <c r="B22" s="11"/>
      <c r="C22" s="4">
        <v>20.0</v>
      </c>
      <c r="D22" s="28">
        <v>16.0</v>
      </c>
      <c r="E22" s="4" t="s">
        <v>132</v>
      </c>
      <c r="F22" s="29" t="s">
        <v>151</v>
      </c>
    </row>
    <row r="23">
      <c r="A23" s="4" t="s">
        <v>152</v>
      </c>
      <c r="B23" s="11"/>
      <c r="C23" s="4">
        <v>21.0</v>
      </c>
      <c r="D23" s="28">
        <v>15.0</v>
      </c>
      <c r="E23" s="4" t="s">
        <v>132</v>
      </c>
      <c r="F23" s="29" t="s">
        <v>153</v>
      </c>
    </row>
    <row r="24">
      <c r="A24" s="4" t="s">
        <v>154</v>
      </c>
      <c r="B24" s="11"/>
      <c r="C24" s="4">
        <v>22.0</v>
      </c>
      <c r="D24" s="28">
        <v>15.0</v>
      </c>
      <c r="E24" s="12" t="s">
        <v>155</v>
      </c>
      <c r="F24" s="29" t="s">
        <v>154</v>
      </c>
    </row>
    <row r="25">
      <c r="A25" s="4" t="s">
        <v>156</v>
      </c>
      <c r="B25" s="11"/>
      <c r="C25" s="4">
        <v>23.0</v>
      </c>
      <c r="D25" s="28">
        <v>15.0</v>
      </c>
      <c r="E25" s="12" t="s">
        <v>155</v>
      </c>
      <c r="F25" s="29" t="s">
        <v>157</v>
      </c>
    </row>
    <row r="26">
      <c r="A26" s="4" t="s">
        <v>158</v>
      </c>
      <c r="B26" s="11"/>
      <c r="C26" s="4">
        <v>24.0</v>
      </c>
      <c r="D26" s="28">
        <v>7.0</v>
      </c>
      <c r="E26" s="12" t="s">
        <v>155</v>
      </c>
      <c r="F26" s="29" t="s">
        <v>159</v>
      </c>
    </row>
    <row r="27">
      <c r="A27" s="4" t="s">
        <v>160</v>
      </c>
      <c r="B27" s="11" t="s">
        <v>135</v>
      </c>
      <c r="C27" s="4"/>
      <c r="D27" s="28">
        <v>13.0</v>
      </c>
      <c r="E27" s="12" t="s">
        <v>155</v>
      </c>
      <c r="F27" s="29" t="s">
        <v>159</v>
      </c>
    </row>
    <row r="28">
      <c r="A28" s="4" t="s">
        <v>161</v>
      </c>
      <c r="B28" s="11" t="s">
        <v>135</v>
      </c>
      <c r="C28" s="4"/>
      <c r="D28" s="28">
        <v>15.0</v>
      </c>
      <c r="E28" s="12" t="s">
        <v>155</v>
      </c>
      <c r="F28" s="29" t="s">
        <v>159</v>
      </c>
    </row>
    <row r="29">
      <c r="A29" s="4" t="s">
        <v>162</v>
      </c>
      <c r="B29" s="11"/>
      <c r="C29" s="4">
        <v>25.0</v>
      </c>
      <c r="D29" s="28">
        <v>15.0</v>
      </c>
      <c r="E29" s="12" t="s">
        <v>155</v>
      </c>
      <c r="F29" s="29" t="s">
        <v>163</v>
      </c>
    </row>
    <row r="30">
      <c r="A30" s="4" t="s">
        <v>164</v>
      </c>
      <c r="B30" s="11"/>
      <c r="C30" s="4">
        <v>26.0</v>
      </c>
      <c r="D30" s="28">
        <v>9.0</v>
      </c>
      <c r="E30" s="12" t="s">
        <v>155</v>
      </c>
      <c r="F30" s="29" t="s">
        <v>165</v>
      </c>
    </row>
    <row r="31">
      <c r="A31" s="4" t="s">
        <v>166</v>
      </c>
      <c r="B31" s="11" t="s">
        <v>135</v>
      </c>
      <c r="C31" s="4"/>
      <c r="D31" s="28">
        <v>13.0</v>
      </c>
      <c r="E31" s="12" t="s">
        <v>155</v>
      </c>
      <c r="F31" s="29" t="s">
        <v>165</v>
      </c>
    </row>
    <row r="32">
      <c r="A32" s="4" t="s">
        <v>167</v>
      </c>
      <c r="B32" s="11"/>
      <c r="C32" s="4">
        <v>27.0</v>
      </c>
      <c r="D32" s="28">
        <v>4.0</v>
      </c>
      <c r="E32" s="12" t="s">
        <v>155</v>
      </c>
      <c r="F32" s="29" t="s">
        <v>168</v>
      </c>
    </row>
    <row r="33">
      <c r="A33" s="4" t="s">
        <v>169</v>
      </c>
      <c r="B33" s="11" t="s">
        <v>135</v>
      </c>
      <c r="C33" s="4"/>
      <c r="D33" s="28">
        <v>5.0</v>
      </c>
      <c r="E33" s="12" t="s">
        <v>155</v>
      </c>
      <c r="F33" s="29" t="s">
        <v>168</v>
      </c>
    </row>
    <row r="34">
      <c r="A34" s="4" t="s">
        <v>170</v>
      </c>
      <c r="B34" s="30"/>
      <c r="C34" s="4">
        <v>28.0</v>
      </c>
      <c r="D34" s="31">
        <v>4.0</v>
      </c>
      <c r="E34" s="12" t="s">
        <v>155</v>
      </c>
      <c r="F34" s="29" t="s">
        <v>171</v>
      </c>
    </row>
    <row r="35">
      <c r="A35" s="13" t="s">
        <v>172</v>
      </c>
      <c r="B35" s="11"/>
      <c r="C35" s="13">
        <v>29.0</v>
      </c>
      <c r="D35" s="28">
        <v>4.0</v>
      </c>
      <c r="E35" s="12" t="s">
        <v>155</v>
      </c>
      <c r="F35" s="32" t="s">
        <v>173</v>
      </c>
    </row>
    <row r="36">
      <c r="A36" s="4" t="s">
        <v>174</v>
      </c>
      <c r="B36" s="11"/>
      <c r="C36" s="4">
        <v>30.0</v>
      </c>
      <c r="D36" s="28">
        <v>1.0</v>
      </c>
      <c r="E36" s="12" t="s">
        <v>155</v>
      </c>
      <c r="F36" s="29" t="s">
        <v>175</v>
      </c>
    </row>
    <row r="37">
      <c r="A37" s="4" t="s">
        <v>176</v>
      </c>
      <c r="B37" s="11" t="s">
        <v>135</v>
      </c>
      <c r="C37" s="4"/>
      <c r="D37" s="28">
        <v>15.0</v>
      </c>
      <c r="E37" s="12" t="s">
        <v>155</v>
      </c>
      <c r="F37" s="29" t="s">
        <v>175</v>
      </c>
    </row>
    <row r="38">
      <c r="A38" s="14" t="s">
        <v>177</v>
      </c>
      <c r="B38" s="11"/>
      <c r="C38" s="4">
        <v>31.0</v>
      </c>
      <c r="D38" s="28">
        <v>9.0</v>
      </c>
      <c r="E38" s="12" t="s">
        <v>155</v>
      </c>
      <c r="F38" s="29" t="s">
        <v>178</v>
      </c>
    </row>
    <row r="39">
      <c r="A39" s="35" t="s">
        <v>179</v>
      </c>
      <c r="B39" s="36"/>
      <c r="C39" s="13">
        <v>32.0</v>
      </c>
      <c r="D39" s="37">
        <v>1.0</v>
      </c>
      <c r="E39" s="12" t="s">
        <v>155</v>
      </c>
      <c r="F39" s="29" t="s">
        <v>180</v>
      </c>
    </row>
    <row r="40">
      <c r="A40" s="4" t="s">
        <v>181</v>
      </c>
      <c r="B40" s="11"/>
      <c r="C40" s="4">
        <v>33.0</v>
      </c>
      <c r="D40" s="28">
        <v>1.0</v>
      </c>
      <c r="E40" s="12" t="s">
        <v>182</v>
      </c>
      <c r="F40" s="29" t="s">
        <v>183</v>
      </c>
    </row>
    <row r="41">
      <c r="A41" s="4" t="s">
        <v>184</v>
      </c>
      <c r="B41" s="11" t="s">
        <v>135</v>
      </c>
      <c r="C41" s="4"/>
      <c r="D41" s="28">
        <v>10.0</v>
      </c>
      <c r="E41" s="12" t="s">
        <v>182</v>
      </c>
      <c r="F41" s="29" t="s">
        <v>183</v>
      </c>
    </row>
    <row r="42">
      <c r="A42" s="4" t="s">
        <v>185</v>
      </c>
      <c r="B42" s="11" t="s">
        <v>135</v>
      </c>
      <c r="C42" s="4"/>
      <c r="D42" s="28">
        <v>13.0</v>
      </c>
      <c r="E42" s="12" t="s">
        <v>182</v>
      </c>
      <c r="F42" s="29" t="s">
        <v>183</v>
      </c>
    </row>
    <row r="43">
      <c r="A43" s="4" t="s">
        <v>186</v>
      </c>
      <c r="B43" s="11"/>
      <c r="C43" s="4">
        <v>34.0</v>
      </c>
      <c r="D43" s="28">
        <v>9.0</v>
      </c>
      <c r="E43" s="12" t="s">
        <v>182</v>
      </c>
      <c r="F43" s="29" t="s">
        <v>187</v>
      </c>
    </row>
    <row r="44">
      <c r="A44" s="4" t="s">
        <v>188</v>
      </c>
      <c r="B44" s="11"/>
      <c r="C44" s="4">
        <v>35.0</v>
      </c>
      <c r="D44" s="28">
        <v>9.0</v>
      </c>
      <c r="E44" s="12" t="s">
        <v>182</v>
      </c>
      <c r="F44" s="29" t="s">
        <v>189</v>
      </c>
    </row>
    <row r="45">
      <c r="A45" s="4" t="s">
        <v>190</v>
      </c>
      <c r="B45" s="11" t="s">
        <v>135</v>
      </c>
      <c r="C45" s="4"/>
      <c r="D45" s="28">
        <v>15.0</v>
      </c>
      <c r="E45" s="12" t="s">
        <v>182</v>
      </c>
      <c r="F45" s="29" t="s">
        <v>189</v>
      </c>
    </row>
    <row r="46">
      <c r="A46" s="4" t="s">
        <v>191</v>
      </c>
      <c r="B46" s="11"/>
      <c r="C46" s="4">
        <v>36.0</v>
      </c>
      <c r="D46" s="28">
        <v>14.0</v>
      </c>
      <c r="E46" s="12" t="s">
        <v>182</v>
      </c>
      <c r="F46" s="29" t="s">
        <v>192</v>
      </c>
    </row>
    <row r="47">
      <c r="A47" s="4" t="s">
        <v>193</v>
      </c>
      <c r="B47" s="11"/>
      <c r="C47" s="4">
        <v>37.0</v>
      </c>
      <c r="D47" s="28">
        <v>9.0</v>
      </c>
      <c r="E47" s="12" t="s">
        <v>182</v>
      </c>
      <c r="F47" s="29" t="s">
        <v>194</v>
      </c>
    </row>
    <row r="48">
      <c r="A48" s="4" t="s">
        <v>195</v>
      </c>
      <c r="B48" s="11"/>
      <c r="C48" s="4">
        <v>38.0</v>
      </c>
      <c r="D48" s="28">
        <v>6.0</v>
      </c>
      <c r="E48" s="12" t="s">
        <v>182</v>
      </c>
      <c r="F48" s="29" t="s">
        <v>196</v>
      </c>
    </row>
    <row r="49">
      <c r="A49" s="33" t="s">
        <v>197</v>
      </c>
      <c r="B49" s="38" t="s">
        <v>135</v>
      </c>
      <c r="C49" s="33"/>
      <c r="D49" s="31">
        <v>13.0</v>
      </c>
      <c r="E49" s="12" t="s">
        <v>182</v>
      </c>
      <c r="F49" s="29" t="s">
        <v>196</v>
      </c>
    </row>
    <row r="50">
      <c r="A50" s="4" t="s">
        <v>198</v>
      </c>
      <c r="B50" s="11"/>
      <c r="C50" s="4">
        <v>39.0</v>
      </c>
      <c r="D50" s="28">
        <v>9.0</v>
      </c>
      <c r="E50" s="12" t="s">
        <v>182</v>
      </c>
      <c r="F50" s="29" t="s">
        <v>199</v>
      </c>
    </row>
    <row r="51">
      <c r="A51" s="4" t="s">
        <v>200</v>
      </c>
      <c r="B51" s="11"/>
      <c r="C51" s="4">
        <v>40.0</v>
      </c>
      <c r="D51" s="28">
        <v>6.0</v>
      </c>
      <c r="E51" s="12" t="s">
        <v>182</v>
      </c>
      <c r="F51" s="29" t="s">
        <v>201</v>
      </c>
    </row>
    <row r="52">
      <c r="A52" s="4" t="s">
        <v>202</v>
      </c>
      <c r="B52" s="11"/>
      <c r="C52" s="4">
        <v>41.0</v>
      </c>
      <c r="D52" s="28">
        <v>14.0</v>
      </c>
      <c r="E52" s="12" t="s">
        <v>182</v>
      </c>
      <c r="F52" s="29" t="s">
        <v>203</v>
      </c>
    </row>
    <row r="53">
      <c r="A53" s="4" t="s">
        <v>204</v>
      </c>
      <c r="B53" s="11"/>
      <c r="C53" s="4">
        <v>42.0</v>
      </c>
      <c r="D53" s="28">
        <v>13.0</v>
      </c>
      <c r="E53" s="12" t="s">
        <v>205</v>
      </c>
      <c r="F53" s="29" t="s">
        <v>206</v>
      </c>
    </row>
    <row r="54">
      <c r="A54" s="13" t="s">
        <v>207</v>
      </c>
      <c r="B54" s="30"/>
      <c r="C54" s="13">
        <v>43.0</v>
      </c>
      <c r="D54" s="31">
        <v>1.0</v>
      </c>
      <c r="E54" s="12" t="s">
        <v>205</v>
      </c>
      <c r="F54" s="29" t="s">
        <v>208</v>
      </c>
    </row>
    <row r="55">
      <c r="A55" s="4" t="s">
        <v>209</v>
      </c>
      <c r="B55" s="11" t="s">
        <v>135</v>
      </c>
      <c r="C55" s="4"/>
      <c r="D55" s="28">
        <v>5.0</v>
      </c>
      <c r="E55" s="12" t="s">
        <v>205</v>
      </c>
      <c r="F55" s="29" t="s">
        <v>208</v>
      </c>
    </row>
    <row r="56">
      <c r="A56" s="4" t="s">
        <v>210</v>
      </c>
      <c r="B56" s="11"/>
      <c r="C56" s="4">
        <v>44.0</v>
      </c>
      <c r="D56" s="28">
        <v>9.0</v>
      </c>
      <c r="E56" s="12" t="s">
        <v>205</v>
      </c>
      <c r="F56" s="4" t="s">
        <v>211</v>
      </c>
    </row>
    <row r="57">
      <c r="A57" s="4" t="s">
        <v>212</v>
      </c>
      <c r="B57" s="11" t="s">
        <v>135</v>
      </c>
      <c r="C57" s="4"/>
      <c r="D57" s="28">
        <v>13.0</v>
      </c>
      <c r="E57" s="12" t="s">
        <v>205</v>
      </c>
      <c r="F57" s="4" t="s">
        <v>211</v>
      </c>
    </row>
    <row r="58">
      <c r="A58" s="4" t="s">
        <v>210</v>
      </c>
      <c r="B58" s="11"/>
      <c r="C58" s="4">
        <v>45.0</v>
      </c>
      <c r="D58" s="28">
        <v>9.0</v>
      </c>
      <c r="E58" s="12" t="s">
        <v>205</v>
      </c>
      <c r="F58" s="29" t="s">
        <v>213</v>
      </c>
    </row>
    <row r="59">
      <c r="A59" s="4" t="s">
        <v>214</v>
      </c>
      <c r="B59" s="11" t="s">
        <v>135</v>
      </c>
      <c r="C59" s="4"/>
      <c r="D59" s="28">
        <v>13.0</v>
      </c>
      <c r="E59" s="12" t="s">
        <v>205</v>
      </c>
      <c r="F59" s="29" t="s">
        <v>213</v>
      </c>
    </row>
    <row r="60">
      <c r="A60" s="4" t="s">
        <v>215</v>
      </c>
      <c r="B60" s="11"/>
      <c r="C60" s="4">
        <v>46.0</v>
      </c>
      <c r="D60" s="28">
        <v>9.0</v>
      </c>
      <c r="E60" s="12" t="s">
        <v>205</v>
      </c>
      <c r="F60" s="29" t="s">
        <v>216</v>
      </c>
    </row>
    <row r="61">
      <c r="A61" s="4" t="s">
        <v>215</v>
      </c>
      <c r="B61" s="11"/>
      <c r="C61" s="4">
        <v>47.0</v>
      </c>
      <c r="D61" s="28">
        <v>9.0</v>
      </c>
      <c r="E61" s="12" t="s">
        <v>205</v>
      </c>
      <c r="F61" s="29" t="s">
        <v>217</v>
      </c>
    </row>
    <row r="62">
      <c r="A62" s="35" t="s">
        <v>218</v>
      </c>
      <c r="B62" s="38" t="s">
        <v>135</v>
      </c>
      <c r="C62" s="35"/>
      <c r="D62" s="37">
        <v>11.0</v>
      </c>
      <c r="E62" s="12" t="s">
        <v>205</v>
      </c>
      <c r="F62" s="29" t="s">
        <v>217</v>
      </c>
    </row>
    <row r="63">
      <c r="A63" s="35" t="s">
        <v>219</v>
      </c>
      <c r="B63" s="30"/>
      <c r="C63" s="13">
        <v>48.0</v>
      </c>
      <c r="D63" s="31">
        <v>5.0</v>
      </c>
      <c r="E63" s="12" t="s">
        <v>205</v>
      </c>
      <c r="F63" s="29" t="s">
        <v>220</v>
      </c>
    </row>
    <row r="64">
      <c r="A64" s="4" t="s">
        <v>170</v>
      </c>
      <c r="B64" s="30"/>
      <c r="C64" s="4">
        <v>49.0</v>
      </c>
      <c r="D64" s="31">
        <v>4.0</v>
      </c>
      <c r="E64" s="12" t="s">
        <v>221</v>
      </c>
      <c r="F64" s="29" t="s">
        <v>222</v>
      </c>
    </row>
    <row r="65">
      <c r="A65" s="4" t="s">
        <v>170</v>
      </c>
      <c r="B65" s="30"/>
      <c r="C65" s="4">
        <v>50.0</v>
      </c>
      <c r="D65" s="31">
        <v>4.0</v>
      </c>
      <c r="E65" s="12" t="s">
        <v>221</v>
      </c>
      <c r="F65" s="29" t="s">
        <v>223</v>
      </c>
    </row>
    <row r="66">
      <c r="A66" s="4" t="s">
        <v>224</v>
      </c>
      <c r="B66" s="30"/>
      <c r="C66" s="4">
        <v>51.0</v>
      </c>
      <c r="D66" s="31">
        <v>6.0</v>
      </c>
      <c r="E66" s="12" t="s">
        <v>221</v>
      </c>
      <c r="F66" s="29" t="s">
        <v>224</v>
      </c>
    </row>
    <row r="67">
      <c r="A67" s="4" t="s">
        <v>225</v>
      </c>
      <c r="B67" s="11"/>
      <c r="C67" s="4">
        <v>52.0</v>
      </c>
      <c r="D67" s="28">
        <v>17.0</v>
      </c>
      <c r="E67" s="12" t="s">
        <v>221</v>
      </c>
      <c r="F67" s="29" t="s">
        <v>226</v>
      </c>
    </row>
    <row r="68">
      <c r="A68" s="4" t="s">
        <v>227</v>
      </c>
      <c r="B68" s="11"/>
      <c r="C68" s="4">
        <v>53.0</v>
      </c>
      <c r="D68" s="28">
        <v>17.0</v>
      </c>
      <c r="E68" s="12" t="s">
        <v>221</v>
      </c>
      <c r="F68" s="29" t="s">
        <v>228</v>
      </c>
    </row>
    <row r="69">
      <c r="A69" s="4" t="s">
        <v>229</v>
      </c>
      <c r="B69" s="11"/>
      <c r="C69" s="4">
        <v>54.0</v>
      </c>
      <c r="D69" s="28">
        <v>18.0</v>
      </c>
      <c r="E69" s="12" t="s">
        <v>221</v>
      </c>
      <c r="F69" s="29" t="s">
        <v>230</v>
      </c>
    </row>
    <row r="70">
      <c r="A70" s="4" t="s">
        <v>231</v>
      </c>
      <c r="B70" s="11"/>
      <c r="C70" s="4">
        <v>55.0</v>
      </c>
      <c r="D70" s="28">
        <v>17.0</v>
      </c>
      <c r="E70" s="12" t="s">
        <v>221</v>
      </c>
      <c r="F70" s="29" t="s">
        <v>232</v>
      </c>
    </row>
    <row r="71">
      <c r="A71" s="4" t="s">
        <v>233</v>
      </c>
      <c r="B71" s="11"/>
      <c r="C71" s="4">
        <v>56.0</v>
      </c>
      <c r="D71" s="28">
        <v>15.0</v>
      </c>
      <c r="E71" s="12" t="s">
        <v>221</v>
      </c>
      <c r="F71" s="34" t="s">
        <v>233</v>
      </c>
    </row>
    <row r="72">
      <c r="A72" s="4" t="s">
        <v>234</v>
      </c>
      <c r="B72" s="11"/>
      <c r="C72" s="4">
        <v>57.0</v>
      </c>
      <c r="D72" s="28">
        <v>9.0</v>
      </c>
      <c r="E72" s="12" t="s">
        <v>221</v>
      </c>
      <c r="F72" s="29" t="s">
        <v>234</v>
      </c>
    </row>
    <row r="73">
      <c r="A73" s="4" t="s">
        <v>235</v>
      </c>
      <c r="B73" s="11"/>
      <c r="C73" s="4">
        <v>58.0</v>
      </c>
      <c r="D73" s="28">
        <v>14.0</v>
      </c>
      <c r="E73" s="12" t="s">
        <v>221</v>
      </c>
      <c r="F73" s="29" t="s">
        <v>236</v>
      </c>
    </row>
    <row r="74">
      <c r="A74" s="4" t="s">
        <v>170</v>
      </c>
      <c r="B74" s="30"/>
      <c r="C74" s="4">
        <v>59.0</v>
      </c>
      <c r="D74" s="31">
        <v>4.0</v>
      </c>
      <c r="E74" s="12" t="s">
        <v>221</v>
      </c>
      <c r="F74" s="34" t="s">
        <v>237</v>
      </c>
    </row>
    <row r="75">
      <c r="A75" s="4" t="s">
        <v>238</v>
      </c>
      <c r="B75" s="11"/>
      <c r="C75" s="4">
        <v>60.0</v>
      </c>
      <c r="D75" s="28">
        <v>5.0</v>
      </c>
      <c r="E75" s="12" t="s">
        <v>221</v>
      </c>
      <c r="F75" s="29" t="s">
        <v>239</v>
      </c>
    </row>
    <row r="76">
      <c r="A76" s="4" t="s">
        <v>240</v>
      </c>
      <c r="B76" s="11"/>
      <c r="C76" s="4">
        <v>61.0</v>
      </c>
      <c r="D76" s="28">
        <v>15.0</v>
      </c>
      <c r="E76" s="12" t="s">
        <v>221</v>
      </c>
      <c r="F76" s="29" t="s">
        <v>241</v>
      </c>
    </row>
    <row r="77">
      <c r="A77" s="4" t="s">
        <v>242</v>
      </c>
      <c r="B77" s="11"/>
      <c r="C77" s="4">
        <v>62.0</v>
      </c>
      <c r="D77" s="28">
        <v>4.0</v>
      </c>
      <c r="E77" s="12" t="s">
        <v>221</v>
      </c>
      <c r="F77" s="29" t="s">
        <v>243</v>
      </c>
    </row>
    <row r="78">
      <c r="A78" s="4" t="s">
        <v>244</v>
      </c>
      <c r="B78" s="11"/>
      <c r="C78" s="4">
        <v>63.0</v>
      </c>
      <c r="D78" s="28">
        <v>6.0</v>
      </c>
      <c r="E78" s="12" t="s">
        <v>221</v>
      </c>
      <c r="F78" s="29" t="s">
        <v>244</v>
      </c>
    </row>
    <row r="79">
      <c r="A79" s="4" t="s">
        <v>245</v>
      </c>
      <c r="B79" s="11"/>
      <c r="C79" s="4">
        <v>64.0</v>
      </c>
      <c r="D79" s="28">
        <v>10.0</v>
      </c>
      <c r="E79" s="28" t="s">
        <v>246</v>
      </c>
      <c r="F79" s="29" t="s">
        <v>247</v>
      </c>
    </row>
    <row r="80">
      <c r="A80" s="4" t="s">
        <v>248</v>
      </c>
      <c r="B80" s="11" t="s">
        <v>135</v>
      </c>
      <c r="C80" s="4"/>
      <c r="D80" s="28">
        <v>1.0</v>
      </c>
      <c r="E80" s="12" t="s">
        <v>246</v>
      </c>
      <c r="F80" s="29" t="s">
        <v>247</v>
      </c>
    </row>
    <row r="81">
      <c r="A81" s="35" t="s">
        <v>249</v>
      </c>
      <c r="B81" s="30"/>
      <c r="C81" s="13">
        <v>65.0</v>
      </c>
      <c r="D81" s="31">
        <v>1.0</v>
      </c>
      <c r="E81" s="12" t="s">
        <v>246</v>
      </c>
      <c r="F81" s="29" t="s">
        <v>250</v>
      </c>
    </row>
    <row r="82">
      <c r="A82" s="4" t="s">
        <v>251</v>
      </c>
      <c r="B82" s="11" t="s">
        <v>135</v>
      </c>
      <c r="C82" s="4"/>
      <c r="D82" s="28">
        <v>7.0</v>
      </c>
      <c r="E82" s="12" t="s">
        <v>246</v>
      </c>
      <c r="F82" s="29" t="s">
        <v>250</v>
      </c>
    </row>
    <row r="83">
      <c r="A83" s="4" t="s">
        <v>252</v>
      </c>
      <c r="B83" s="11" t="s">
        <v>135</v>
      </c>
      <c r="C83" s="4"/>
      <c r="D83" s="28">
        <v>6.0</v>
      </c>
      <c r="E83" s="12" t="s">
        <v>246</v>
      </c>
      <c r="F83" s="29" t="s">
        <v>253</v>
      </c>
    </row>
    <row r="84">
      <c r="A84" s="4" t="s">
        <v>254</v>
      </c>
      <c r="B84" s="11"/>
      <c r="C84" s="4">
        <v>66.0</v>
      </c>
      <c r="D84" s="28">
        <v>9.0</v>
      </c>
      <c r="E84" s="12" t="s">
        <v>246</v>
      </c>
      <c r="F84" s="29" t="s">
        <v>255</v>
      </c>
    </row>
    <row r="85">
      <c r="A85" s="35" t="s">
        <v>256</v>
      </c>
      <c r="B85" s="30"/>
      <c r="C85" s="13">
        <v>67.0</v>
      </c>
      <c r="D85" s="31">
        <v>1.0</v>
      </c>
      <c r="E85" s="12" t="s">
        <v>246</v>
      </c>
      <c r="F85" s="29" t="s">
        <v>257</v>
      </c>
    </row>
    <row r="86">
      <c r="A86" s="4" t="s">
        <v>258</v>
      </c>
      <c r="B86" s="11"/>
      <c r="C86" s="4">
        <v>68.0</v>
      </c>
      <c r="D86" s="28">
        <v>9.0</v>
      </c>
      <c r="E86" s="12" t="s">
        <v>246</v>
      </c>
      <c r="F86" s="29" t="s">
        <v>259</v>
      </c>
    </row>
    <row r="87">
      <c r="A87" s="4" t="s">
        <v>260</v>
      </c>
      <c r="B87" s="11" t="s">
        <v>135</v>
      </c>
      <c r="C87" s="4"/>
      <c r="D87" s="28">
        <v>13.0</v>
      </c>
      <c r="E87" s="12" t="s">
        <v>246</v>
      </c>
      <c r="F87" s="29" t="s">
        <v>259</v>
      </c>
    </row>
    <row r="88">
      <c r="A88" s="4" t="s">
        <v>261</v>
      </c>
      <c r="B88" s="11"/>
      <c r="C88" s="4">
        <v>69.0</v>
      </c>
      <c r="D88" s="28">
        <v>8.0</v>
      </c>
      <c r="E88" s="12" t="s">
        <v>246</v>
      </c>
      <c r="F88" s="29" t="s">
        <v>262</v>
      </c>
    </row>
    <row r="89">
      <c r="A89" s="4" t="s">
        <v>263</v>
      </c>
      <c r="B89" s="11"/>
      <c r="C89" s="4">
        <v>70.0</v>
      </c>
      <c r="D89" s="28">
        <v>10.0</v>
      </c>
      <c r="E89" s="12" t="s">
        <v>246</v>
      </c>
      <c r="F89" s="34" t="s">
        <v>264</v>
      </c>
    </row>
    <row r="90">
      <c r="A90" s="4" t="s">
        <v>265</v>
      </c>
      <c r="B90" s="11"/>
      <c r="C90" s="4">
        <v>71.0</v>
      </c>
      <c r="D90" s="28">
        <v>12.0</v>
      </c>
      <c r="E90" s="12" t="s">
        <v>246</v>
      </c>
      <c r="F90" s="29" t="s">
        <v>266</v>
      </c>
    </row>
    <row r="91">
      <c r="A91" s="4" t="s">
        <v>267</v>
      </c>
      <c r="B91" s="11"/>
      <c r="C91" s="4">
        <v>72.0</v>
      </c>
      <c r="D91" s="28">
        <v>1.0</v>
      </c>
      <c r="E91" s="12" t="s">
        <v>246</v>
      </c>
      <c r="F91" s="29" t="s">
        <v>268</v>
      </c>
    </row>
    <row r="92">
      <c r="A92" s="35" t="s">
        <v>269</v>
      </c>
      <c r="B92" s="30"/>
      <c r="C92" s="13">
        <v>73.0</v>
      </c>
      <c r="D92" s="31">
        <v>1.0</v>
      </c>
      <c r="E92" s="12" t="s">
        <v>246</v>
      </c>
      <c r="F92" s="29" t="s">
        <v>270</v>
      </c>
    </row>
  </sheetData>
  <dataValidations>
    <dataValidation type="list" allowBlank="1" sqref="E2:E92">
      <formula1>"tools,curriculum,pedagogy,classes preparation,environment setup,devops concepts,assessment"</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94.14"/>
    <col customWidth="1" min="2" max="2" width="20.57"/>
    <col customWidth="1" min="3" max="3" width="9.57"/>
    <col customWidth="1" min="4" max="4" width="7.29"/>
    <col customWidth="1" min="5" max="5" width="29.14"/>
    <col customWidth="1" min="6" max="6" width="45.57"/>
  </cols>
  <sheetData>
    <row r="1">
      <c r="A1" s="39" t="s">
        <v>271</v>
      </c>
      <c r="B1" s="24" t="s">
        <v>272</v>
      </c>
      <c r="C1" s="40" t="s">
        <v>2</v>
      </c>
      <c r="D1" s="25" t="s">
        <v>107</v>
      </c>
      <c r="E1" s="27" t="s">
        <v>4</v>
      </c>
      <c r="F1" s="27" t="s">
        <v>50</v>
      </c>
    </row>
    <row r="2">
      <c r="A2" s="4" t="s">
        <v>273</v>
      </c>
      <c r="B2" s="11"/>
      <c r="C2" s="4">
        <v>1.0</v>
      </c>
      <c r="D2" s="28">
        <v>15.0</v>
      </c>
      <c r="E2" s="12" t="s">
        <v>109</v>
      </c>
      <c r="F2" s="29" t="s">
        <v>274</v>
      </c>
    </row>
    <row r="3">
      <c r="A3" s="4" t="s">
        <v>275</v>
      </c>
      <c r="B3" s="11"/>
      <c r="C3" s="4">
        <v>2.0</v>
      </c>
      <c r="D3" s="28">
        <v>2.0</v>
      </c>
      <c r="E3" s="12" t="s">
        <v>109</v>
      </c>
      <c r="F3" s="29" t="s">
        <v>276</v>
      </c>
    </row>
    <row r="4">
      <c r="A4" s="4" t="s">
        <v>277</v>
      </c>
      <c r="B4" s="11"/>
      <c r="C4" s="4">
        <v>3.0</v>
      </c>
      <c r="D4" s="28">
        <v>3.0</v>
      </c>
      <c r="E4" s="12" t="s">
        <v>109</v>
      </c>
      <c r="F4" s="29" t="s">
        <v>278</v>
      </c>
    </row>
    <row r="5">
      <c r="A5" s="4" t="s">
        <v>279</v>
      </c>
      <c r="B5" s="11"/>
      <c r="C5" s="4">
        <v>4.0</v>
      </c>
      <c r="D5" s="28">
        <v>13.0</v>
      </c>
      <c r="E5" s="12" t="s">
        <v>109</v>
      </c>
      <c r="F5" s="41" t="s">
        <v>280</v>
      </c>
    </row>
    <row r="6">
      <c r="A6" s="4" t="s">
        <v>281</v>
      </c>
      <c r="B6" s="11"/>
      <c r="C6" s="4">
        <v>5.0</v>
      </c>
      <c r="D6" s="28">
        <v>15.0</v>
      </c>
      <c r="E6" s="12" t="s">
        <v>109</v>
      </c>
      <c r="F6" s="29" t="s">
        <v>282</v>
      </c>
    </row>
    <row r="7">
      <c r="A7" s="4" t="s">
        <v>283</v>
      </c>
      <c r="B7" s="11"/>
      <c r="C7" s="4">
        <v>6.0</v>
      </c>
      <c r="D7" s="28">
        <v>16.0</v>
      </c>
      <c r="E7" s="4" t="s">
        <v>132</v>
      </c>
      <c r="F7" s="41" t="s">
        <v>284</v>
      </c>
    </row>
    <row r="8">
      <c r="A8" s="4" t="s">
        <v>285</v>
      </c>
      <c r="B8" s="11" t="s">
        <v>135</v>
      </c>
      <c r="C8" s="4"/>
      <c r="D8" s="28">
        <v>15.0</v>
      </c>
      <c r="E8" s="4" t="s">
        <v>132</v>
      </c>
      <c r="F8" s="29" t="s">
        <v>286</v>
      </c>
    </row>
    <row r="9">
      <c r="A9" s="4" t="s">
        <v>287</v>
      </c>
      <c r="B9" s="11"/>
      <c r="C9" s="4">
        <v>7.0</v>
      </c>
      <c r="D9" s="28">
        <v>16.0</v>
      </c>
      <c r="E9" s="4" t="s">
        <v>132</v>
      </c>
      <c r="F9" s="29" t="s">
        <v>288</v>
      </c>
    </row>
    <row r="10">
      <c r="A10" s="4" t="s">
        <v>289</v>
      </c>
      <c r="B10" s="11"/>
      <c r="C10" s="4">
        <v>8.0</v>
      </c>
      <c r="D10" s="28">
        <v>16.0</v>
      </c>
      <c r="E10" s="4" t="s">
        <v>132</v>
      </c>
      <c r="F10" s="29" t="s">
        <v>289</v>
      </c>
    </row>
    <row r="11">
      <c r="A11" s="4" t="s">
        <v>290</v>
      </c>
      <c r="B11" s="11"/>
      <c r="C11" s="4">
        <v>9.0</v>
      </c>
      <c r="D11" s="28">
        <v>2.0</v>
      </c>
      <c r="E11" s="4" t="s">
        <v>132</v>
      </c>
      <c r="F11" s="29" t="s">
        <v>291</v>
      </c>
    </row>
    <row r="12">
      <c r="A12" s="4" t="s">
        <v>292</v>
      </c>
      <c r="B12" s="11"/>
      <c r="C12" s="4">
        <v>10.0</v>
      </c>
      <c r="D12" s="28">
        <v>4.0</v>
      </c>
      <c r="E12" s="12" t="s">
        <v>132</v>
      </c>
      <c r="F12" s="29" t="s">
        <v>293</v>
      </c>
    </row>
    <row r="13">
      <c r="A13" s="4" t="s">
        <v>294</v>
      </c>
      <c r="B13" s="11"/>
      <c r="C13" s="4">
        <v>11.0</v>
      </c>
      <c r="D13" s="28">
        <v>4.0</v>
      </c>
      <c r="E13" s="4" t="s">
        <v>132</v>
      </c>
      <c r="F13" s="29" t="s">
        <v>295</v>
      </c>
    </row>
    <row r="14">
      <c r="A14" s="4" t="s">
        <v>296</v>
      </c>
      <c r="B14" s="11"/>
      <c r="C14" s="4">
        <v>12.0</v>
      </c>
      <c r="D14" s="28">
        <v>4.0</v>
      </c>
      <c r="E14" s="12" t="s">
        <v>132</v>
      </c>
      <c r="F14" s="29" t="s">
        <v>296</v>
      </c>
    </row>
    <row r="15">
      <c r="A15" s="4" t="s">
        <v>297</v>
      </c>
      <c r="B15" s="11"/>
      <c r="C15" s="4">
        <v>13.0</v>
      </c>
      <c r="D15" s="28">
        <v>15.0</v>
      </c>
      <c r="E15" s="12" t="s">
        <v>155</v>
      </c>
      <c r="F15" s="29" t="s">
        <v>298</v>
      </c>
    </row>
    <row r="16">
      <c r="A16" s="4" t="s">
        <v>299</v>
      </c>
      <c r="B16" s="11"/>
      <c r="C16" s="4">
        <v>14.0</v>
      </c>
      <c r="D16" s="28">
        <v>6.0</v>
      </c>
      <c r="E16" s="12" t="s">
        <v>155</v>
      </c>
      <c r="F16" s="29" t="s">
        <v>299</v>
      </c>
    </row>
    <row r="17">
      <c r="A17" s="42" t="s">
        <v>300</v>
      </c>
      <c r="B17" s="11"/>
      <c r="C17" s="42">
        <v>15.0</v>
      </c>
      <c r="D17" s="28">
        <v>15.0</v>
      </c>
      <c r="E17" s="12" t="s">
        <v>155</v>
      </c>
      <c r="F17" s="34" t="s">
        <v>300</v>
      </c>
    </row>
    <row r="18">
      <c r="A18" s="4" t="s">
        <v>301</v>
      </c>
      <c r="B18" s="11"/>
      <c r="C18" s="4">
        <v>16.0</v>
      </c>
      <c r="D18" s="28">
        <v>6.0</v>
      </c>
      <c r="E18" s="12" t="s">
        <v>155</v>
      </c>
      <c r="F18" s="29" t="s">
        <v>301</v>
      </c>
    </row>
    <row r="19">
      <c r="A19" s="4" t="s">
        <v>302</v>
      </c>
      <c r="B19" s="11"/>
      <c r="C19" s="4">
        <v>17.0</v>
      </c>
      <c r="D19" s="28">
        <v>6.0</v>
      </c>
      <c r="E19" s="12" t="s">
        <v>155</v>
      </c>
      <c r="F19" s="29" t="s">
        <v>303</v>
      </c>
    </row>
    <row r="20">
      <c r="A20" s="4" t="s">
        <v>304</v>
      </c>
      <c r="B20" s="11"/>
      <c r="C20" s="4">
        <v>18.0</v>
      </c>
      <c r="D20" s="28">
        <v>14.0</v>
      </c>
      <c r="E20" s="12" t="s">
        <v>155</v>
      </c>
      <c r="F20" s="29" t="s">
        <v>305</v>
      </c>
    </row>
    <row r="21">
      <c r="A21" s="4" t="s">
        <v>306</v>
      </c>
      <c r="B21" s="11"/>
      <c r="C21" s="4">
        <v>19.0</v>
      </c>
      <c r="D21" s="28">
        <v>13.0</v>
      </c>
      <c r="E21" s="12" t="s">
        <v>155</v>
      </c>
      <c r="F21" s="29" t="s">
        <v>306</v>
      </c>
    </row>
    <row r="22">
      <c r="A22" s="4" t="s">
        <v>307</v>
      </c>
      <c r="B22" s="11"/>
      <c r="C22" s="4">
        <v>20.0</v>
      </c>
      <c r="D22" s="28">
        <v>15.0</v>
      </c>
      <c r="E22" s="12" t="s">
        <v>155</v>
      </c>
      <c r="F22" s="29" t="s">
        <v>308</v>
      </c>
    </row>
    <row r="23">
      <c r="A23" s="4" t="s">
        <v>309</v>
      </c>
      <c r="B23" s="11"/>
      <c r="C23" s="4">
        <v>21.0</v>
      </c>
      <c r="D23" s="28">
        <v>5.0</v>
      </c>
      <c r="E23" s="12" t="s">
        <v>155</v>
      </c>
      <c r="F23" s="29" t="s">
        <v>310</v>
      </c>
    </row>
    <row r="24">
      <c r="A24" s="4" t="s">
        <v>311</v>
      </c>
      <c r="B24" s="11"/>
      <c r="C24" s="4">
        <v>22.0</v>
      </c>
      <c r="D24" s="28">
        <v>1.0</v>
      </c>
      <c r="E24" s="12" t="s">
        <v>155</v>
      </c>
      <c r="F24" s="29" t="s">
        <v>312</v>
      </c>
    </row>
    <row r="25">
      <c r="A25" s="4" t="s">
        <v>313</v>
      </c>
      <c r="B25" s="11"/>
      <c r="C25" s="4">
        <v>23.0</v>
      </c>
      <c r="D25" s="28">
        <v>14.0</v>
      </c>
      <c r="E25" s="12" t="s">
        <v>155</v>
      </c>
      <c r="F25" s="29" t="s">
        <v>314</v>
      </c>
    </row>
    <row r="26">
      <c r="A26" s="4" t="s">
        <v>315</v>
      </c>
      <c r="B26" s="11"/>
      <c r="C26" s="4">
        <v>24.0</v>
      </c>
      <c r="D26" s="28">
        <v>15.0</v>
      </c>
      <c r="E26" s="12" t="s">
        <v>155</v>
      </c>
      <c r="F26" s="29" t="s">
        <v>316</v>
      </c>
    </row>
    <row r="27">
      <c r="A27" s="4" t="s">
        <v>317</v>
      </c>
      <c r="B27" s="11"/>
      <c r="C27" s="4">
        <v>25.0</v>
      </c>
      <c r="D27" s="28">
        <v>9.0</v>
      </c>
      <c r="E27" s="12" t="s">
        <v>155</v>
      </c>
      <c r="F27" s="29" t="s">
        <v>318</v>
      </c>
    </row>
    <row r="28">
      <c r="A28" s="4" t="s">
        <v>319</v>
      </c>
      <c r="B28" s="11"/>
      <c r="C28" s="4">
        <v>26.0</v>
      </c>
      <c r="D28" s="28">
        <v>1.0</v>
      </c>
      <c r="E28" s="12" t="s">
        <v>155</v>
      </c>
      <c r="F28" s="41" t="s">
        <v>320</v>
      </c>
    </row>
    <row r="29">
      <c r="A29" s="42" t="s">
        <v>321</v>
      </c>
      <c r="B29" s="11"/>
      <c r="C29" s="42">
        <v>27.0</v>
      </c>
      <c r="D29" s="28">
        <v>15.0</v>
      </c>
      <c r="E29" s="12" t="s">
        <v>182</v>
      </c>
      <c r="F29" s="34" t="s">
        <v>321</v>
      </c>
    </row>
    <row r="30">
      <c r="A30" s="4" t="s">
        <v>322</v>
      </c>
      <c r="B30" s="11"/>
      <c r="C30" s="4">
        <v>28.0</v>
      </c>
      <c r="D30" s="28">
        <v>14.0</v>
      </c>
      <c r="E30" s="12" t="s">
        <v>182</v>
      </c>
      <c r="F30" s="29" t="s">
        <v>322</v>
      </c>
    </row>
    <row r="31">
      <c r="A31" s="42" t="s">
        <v>323</v>
      </c>
      <c r="B31" s="11"/>
      <c r="C31" s="42">
        <v>29.0</v>
      </c>
      <c r="D31" s="28">
        <v>15.0</v>
      </c>
      <c r="E31" s="12" t="s">
        <v>182</v>
      </c>
      <c r="F31" s="34" t="s">
        <v>323</v>
      </c>
    </row>
    <row r="32">
      <c r="A32" s="4" t="s">
        <v>324</v>
      </c>
      <c r="B32" s="11"/>
      <c r="C32" s="4">
        <v>30.0</v>
      </c>
      <c r="D32" s="28">
        <v>15.0</v>
      </c>
      <c r="E32" s="12" t="s">
        <v>182</v>
      </c>
      <c r="F32" s="41" t="s">
        <v>325</v>
      </c>
    </row>
    <row r="33">
      <c r="A33" s="4" t="s">
        <v>326</v>
      </c>
      <c r="B33" s="11"/>
      <c r="C33" s="4">
        <v>31.0</v>
      </c>
      <c r="D33" s="28">
        <v>14.0</v>
      </c>
      <c r="E33" s="12" t="s">
        <v>182</v>
      </c>
      <c r="F33" s="29" t="s">
        <v>327</v>
      </c>
    </row>
    <row r="34">
      <c r="A34" s="4" t="s">
        <v>328</v>
      </c>
      <c r="B34" s="11"/>
      <c r="C34" s="4">
        <v>32.0</v>
      </c>
      <c r="D34" s="28">
        <v>14.0</v>
      </c>
      <c r="E34" s="12" t="s">
        <v>182</v>
      </c>
      <c r="F34" s="29" t="s">
        <v>329</v>
      </c>
    </row>
    <row r="35">
      <c r="A35" s="4" t="s">
        <v>330</v>
      </c>
      <c r="B35" s="11"/>
      <c r="C35" s="4">
        <v>33.0</v>
      </c>
      <c r="D35" s="28">
        <v>9.0</v>
      </c>
      <c r="E35" s="12" t="s">
        <v>182</v>
      </c>
      <c r="F35" s="41" t="s">
        <v>331</v>
      </c>
    </row>
    <row r="36">
      <c r="A36" s="4" t="s">
        <v>332</v>
      </c>
      <c r="B36" s="11"/>
      <c r="C36" s="4">
        <v>34.0</v>
      </c>
      <c r="D36" s="28">
        <v>1.0</v>
      </c>
      <c r="E36" s="12" t="s">
        <v>182</v>
      </c>
      <c r="F36" s="29" t="s">
        <v>332</v>
      </c>
    </row>
    <row r="37">
      <c r="A37" s="4" t="s">
        <v>333</v>
      </c>
      <c r="B37" s="11"/>
      <c r="C37" s="4">
        <v>35.0</v>
      </c>
      <c r="D37" s="28">
        <v>11.0</v>
      </c>
      <c r="E37" s="12" t="s">
        <v>182</v>
      </c>
      <c r="F37" s="29" t="s">
        <v>334</v>
      </c>
    </row>
    <row r="38">
      <c r="A38" s="4" t="s">
        <v>335</v>
      </c>
      <c r="B38" s="11"/>
      <c r="C38" s="4">
        <v>36.0</v>
      </c>
      <c r="D38" s="28">
        <v>15.0</v>
      </c>
      <c r="E38" s="12" t="s">
        <v>182</v>
      </c>
      <c r="F38" s="29" t="s">
        <v>335</v>
      </c>
    </row>
    <row r="39">
      <c r="A39" s="4" t="s">
        <v>336</v>
      </c>
      <c r="B39" s="11"/>
      <c r="C39" s="4">
        <v>37.0</v>
      </c>
      <c r="D39" s="28">
        <v>10.0</v>
      </c>
      <c r="E39" s="12" t="s">
        <v>205</v>
      </c>
      <c r="F39" s="29" t="s">
        <v>336</v>
      </c>
    </row>
    <row r="40">
      <c r="A40" s="33" t="s">
        <v>337</v>
      </c>
      <c r="B40" s="30"/>
      <c r="C40" s="13">
        <v>38.0</v>
      </c>
      <c r="D40" s="31">
        <v>9.0</v>
      </c>
      <c r="E40" s="12" t="s">
        <v>205</v>
      </c>
      <c r="F40" s="43" t="s">
        <v>337</v>
      </c>
    </row>
    <row r="41">
      <c r="A41" s="4" t="s">
        <v>338</v>
      </c>
      <c r="B41" s="11"/>
      <c r="C41" s="4">
        <v>39.0</v>
      </c>
      <c r="D41" s="28">
        <v>1.0</v>
      </c>
      <c r="E41" s="12" t="s">
        <v>205</v>
      </c>
      <c r="F41" s="41" t="s">
        <v>339</v>
      </c>
    </row>
    <row r="42">
      <c r="A42" s="4" t="s">
        <v>340</v>
      </c>
      <c r="B42" s="11"/>
      <c r="C42" s="4">
        <v>40.0</v>
      </c>
      <c r="D42" s="28">
        <v>1.0</v>
      </c>
      <c r="E42" s="12" t="s">
        <v>205</v>
      </c>
      <c r="F42" s="29" t="s">
        <v>341</v>
      </c>
    </row>
    <row r="43">
      <c r="A43" s="4" t="s">
        <v>342</v>
      </c>
      <c r="B43" s="11"/>
      <c r="C43" s="4">
        <v>41.0</v>
      </c>
      <c r="D43" s="28">
        <v>8.0</v>
      </c>
      <c r="E43" s="12" t="s">
        <v>205</v>
      </c>
      <c r="F43" s="29" t="s">
        <v>342</v>
      </c>
    </row>
    <row r="44">
      <c r="A44" s="4" t="s">
        <v>343</v>
      </c>
      <c r="B44" s="11"/>
      <c r="C44" s="4">
        <v>42.0</v>
      </c>
      <c r="D44" s="28">
        <v>14.0</v>
      </c>
      <c r="E44" s="12" t="s">
        <v>221</v>
      </c>
      <c r="F44" s="29" t="s">
        <v>344</v>
      </c>
    </row>
    <row r="45">
      <c r="A45" s="4" t="s">
        <v>345</v>
      </c>
      <c r="B45" s="11"/>
      <c r="C45" s="4">
        <v>43.0</v>
      </c>
      <c r="D45" s="28">
        <v>4.0</v>
      </c>
      <c r="E45" s="12" t="s">
        <v>221</v>
      </c>
      <c r="F45" s="29" t="s">
        <v>345</v>
      </c>
    </row>
    <row r="46">
      <c r="A46" s="4" t="s">
        <v>346</v>
      </c>
      <c r="B46" s="11"/>
      <c r="C46" s="4">
        <v>44.0</v>
      </c>
      <c r="D46" s="28">
        <v>4.0</v>
      </c>
      <c r="E46" s="12" t="s">
        <v>221</v>
      </c>
      <c r="F46" s="41" t="s">
        <v>347</v>
      </c>
    </row>
    <row r="47">
      <c r="A47" s="4" t="s">
        <v>348</v>
      </c>
      <c r="B47" s="11"/>
      <c r="C47" s="4">
        <v>45.0</v>
      </c>
      <c r="D47" s="28">
        <v>4.0</v>
      </c>
      <c r="E47" s="12" t="s">
        <v>221</v>
      </c>
      <c r="F47" s="29" t="s">
        <v>349</v>
      </c>
    </row>
    <row r="48">
      <c r="A48" s="4" t="s">
        <v>350</v>
      </c>
      <c r="B48" s="11"/>
      <c r="C48" s="4">
        <v>46.0</v>
      </c>
      <c r="D48" s="28">
        <v>6.0</v>
      </c>
      <c r="E48" s="12" t="s">
        <v>221</v>
      </c>
      <c r="F48" s="29" t="s">
        <v>350</v>
      </c>
    </row>
    <row r="49">
      <c r="A49" s="4" t="s">
        <v>351</v>
      </c>
      <c r="B49" s="11"/>
      <c r="C49" s="4">
        <v>47.0</v>
      </c>
      <c r="D49" s="28">
        <v>17.0</v>
      </c>
      <c r="E49" s="12" t="s">
        <v>221</v>
      </c>
      <c r="F49" s="29" t="s">
        <v>351</v>
      </c>
    </row>
    <row r="50">
      <c r="A50" s="4" t="s">
        <v>352</v>
      </c>
      <c r="B50" s="11"/>
      <c r="C50" s="4">
        <v>48.0</v>
      </c>
      <c r="D50" s="28">
        <v>17.0</v>
      </c>
      <c r="E50" s="12" t="s">
        <v>221</v>
      </c>
      <c r="F50" s="29" t="s">
        <v>353</v>
      </c>
    </row>
    <row r="51">
      <c r="A51" s="4" t="s">
        <v>354</v>
      </c>
      <c r="B51" s="11"/>
      <c r="C51" s="4">
        <v>49.0</v>
      </c>
      <c r="D51" s="28">
        <v>11.0</v>
      </c>
      <c r="E51" s="12" t="s">
        <v>221</v>
      </c>
      <c r="F51" s="29" t="s">
        <v>355</v>
      </c>
    </row>
    <row r="52">
      <c r="A52" s="4" t="s">
        <v>356</v>
      </c>
      <c r="B52" s="11"/>
      <c r="C52" s="4">
        <v>50.0</v>
      </c>
      <c r="D52" s="28">
        <v>17.0</v>
      </c>
      <c r="E52" s="12" t="s">
        <v>221</v>
      </c>
      <c r="F52" s="29" t="s">
        <v>357</v>
      </c>
    </row>
    <row r="53">
      <c r="A53" s="4" t="s">
        <v>358</v>
      </c>
      <c r="B53" s="11"/>
      <c r="C53" s="4">
        <v>51.0</v>
      </c>
      <c r="D53" s="28">
        <v>6.0</v>
      </c>
      <c r="E53" s="12" t="s">
        <v>221</v>
      </c>
      <c r="F53" s="41" t="s">
        <v>359</v>
      </c>
    </row>
    <row r="54">
      <c r="A54" s="4" t="s">
        <v>360</v>
      </c>
      <c r="B54" s="11"/>
      <c r="C54" s="4">
        <v>52.0</v>
      </c>
      <c r="D54" s="28">
        <v>16.0</v>
      </c>
      <c r="E54" s="12" t="s">
        <v>221</v>
      </c>
      <c r="F54" s="29" t="s">
        <v>360</v>
      </c>
    </row>
    <row r="55">
      <c r="A55" s="4" t="s">
        <v>348</v>
      </c>
      <c r="B55" s="11"/>
      <c r="C55" s="4">
        <v>53.0</v>
      </c>
      <c r="D55" s="28">
        <v>4.0</v>
      </c>
      <c r="E55" s="12" t="s">
        <v>221</v>
      </c>
      <c r="F55" s="29" t="s">
        <v>361</v>
      </c>
    </row>
    <row r="56">
      <c r="A56" s="4" t="s">
        <v>362</v>
      </c>
      <c r="B56" s="11"/>
      <c r="C56" s="4">
        <v>54.0</v>
      </c>
      <c r="D56" s="28">
        <v>9.0</v>
      </c>
      <c r="E56" s="12" t="s">
        <v>221</v>
      </c>
      <c r="F56" s="29" t="s">
        <v>363</v>
      </c>
    </row>
    <row r="57">
      <c r="A57" s="4" t="s">
        <v>364</v>
      </c>
      <c r="B57" s="11"/>
      <c r="C57" s="4">
        <v>55.0</v>
      </c>
      <c r="D57" s="28">
        <v>6.0</v>
      </c>
      <c r="E57" s="12" t="s">
        <v>221</v>
      </c>
      <c r="F57" s="29" t="s">
        <v>364</v>
      </c>
    </row>
    <row r="58">
      <c r="A58" s="4" t="s">
        <v>365</v>
      </c>
      <c r="B58" s="11" t="s">
        <v>135</v>
      </c>
      <c r="C58" s="4"/>
      <c r="D58" s="28">
        <v>13.0</v>
      </c>
      <c r="E58" s="12" t="s">
        <v>221</v>
      </c>
      <c r="F58" s="29" t="s">
        <v>364</v>
      </c>
    </row>
    <row r="59">
      <c r="A59" s="4" t="s">
        <v>366</v>
      </c>
      <c r="B59" s="11"/>
      <c r="C59" s="4">
        <v>56.0</v>
      </c>
      <c r="D59" s="28">
        <v>15.0</v>
      </c>
      <c r="E59" s="12" t="s">
        <v>221</v>
      </c>
      <c r="F59" s="29" t="s">
        <v>366</v>
      </c>
    </row>
    <row r="60">
      <c r="A60" s="4" t="s">
        <v>367</v>
      </c>
      <c r="B60" s="11"/>
      <c r="C60" s="4">
        <v>57.0</v>
      </c>
      <c r="D60" s="28">
        <v>6.0</v>
      </c>
      <c r="E60" s="12" t="s">
        <v>221</v>
      </c>
      <c r="F60" s="29" t="s">
        <v>367</v>
      </c>
    </row>
    <row r="61">
      <c r="A61" s="4" t="s">
        <v>368</v>
      </c>
      <c r="B61" s="11" t="s">
        <v>135</v>
      </c>
      <c r="C61" s="4"/>
      <c r="D61" s="28">
        <v>13.0</v>
      </c>
      <c r="E61" s="12" t="s">
        <v>221</v>
      </c>
      <c r="F61" s="29" t="s">
        <v>367</v>
      </c>
    </row>
    <row r="62">
      <c r="A62" s="4" t="s">
        <v>369</v>
      </c>
      <c r="B62" s="11" t="s">
        <v>135</v>
      </c>
      <c r="C62" s="4"/>
      <c r="D62" s="28">
        <v>15.0</v>
      </c>
      <c r="E62" s="12" t="s">
        <v>221</v>
      </c>
      <c r="F62" s="29" t="s">
        <v>367</v>
      </c>
    </row>
    <row r="63">
      <c r="A63" s="4" t="s">
        <v>370</v>
      </c>
      <c r="B63" s="11"/>
      <c r="C63" s="4">
        <v>58.0</v>
      </c>
      <c r="D63" s="28">
        <v>14.0</v>
      </c>
      <c r="E63" s="12" t="s">
        <v>221</v>
      </c>
      <c r="F63" s="29" t="s">
        <v>370</v>
      </c>
    </row>
    <row r="64">
      <c r="A64" s="4" t="s">
        <v>371</v>
      </c>
      <c r="B64" s="11"/>
      <c r="C64" s="4">
        <v>59.0</v>
      </c>
      <c r="D64" s="28">
        <v>9.0</v>
      </c>
      <c r="E64" s="12" t="s">
        <v>221</v>
      </c>
      <c r="F64" s="29" t="s">
        <v>372</v>
      </c>
    </row>
    <row r="65">
      <c r="A65" s="4" t="s">
        <v>373</v>
      </c>
      <c r="B65" s="11"/>
      <c r="C65" s="4">
        <v>60.0</v>
      </c>
      <c r="D65" s="28">
        <v>9.0</v>
      </c>
      <c r="E65" s="12" t="s">
        <v>221</v>
      </c>
      <c r="F65" s="41" t="s">
        <v>374</v>
      </c>
    </row>
    <row r="66">
      <c r="A66" s="4" t="s">
        <v>375</v>
      </c>
      <c r="B66" s="11"/>
      <c r="C66" s="4">
        <v>61.0</v>
      </c>
      <c r="D66" s="28">
        <v>17.0</v>
      </c>
      <c r="E66" s="12" t="s">
        <v>221</v>
      </c>
      <c r="F66" s="41" t="s">
        <v>376</v>
      </c>
    </row>
    <row r="67">
      <c r="A67" s="4" t="s">
        <v>377</v>
      </c>
      <c r="B67" s="11"/>
      <c r="C67" s="4">
        <v>62.0</v>
      </c>
      <c r="D67" s="28">
        <v>4.0</v>
      </c>
      <c r="E67" s="12" t="s">
        <v>221</v>
      </c>
      <c r="F67" s="41" t="s">
        <v>378</v>
      </c>
    </row>
    <row r="68">
      <c r="A68" s="4" t="s">
        <v>379</v>
      </c>
      <c r="B68" s="11"/>
      <c r="C68" s="4">
        <v>63.0</v>
      </c>
      <c r="D68" s="28">
        <v>4.0</v>
      </c>
      <c r="E68" s="12" t="s">
        <v>221</v>
      </c>
      <c r="F68" s="29" t="s">
        <v>379</v>
      </c>
    </row>
    <row r="69">
      <c r="A69" s="4" t="s">
        <v>380</v>
      </c>
      <c r="B69" s="11"/>
      <c r="C69" s="4">
        <v>64.0</v>
      </c>
      <c r="D69" s="28">
        <v>13.0</v>
      </c>
      <c r="E69" s="12" t="s">
        <v>221</v>
      </c>
      <c r="F69" s="29" t="s">
        <v>381</v>
      </c>
    </row>
    <row r="70">
      <c r="A70" s="4" t="s">
        <v>382</v>
      </c>
      <c r="B70" s="11"/>
      <c r="C70" s="4">
        <v>65.0</v>
      </c>
      <c r="D70" s="28">
        <v>11.0</v>
      </c>
      <c r="E70" s="12" t="s">
        <v>221</v>
      </c>
      <c r="F70" s="29" t="s">
        <v>382</v>
      </c>
    </row>
    <row r="71">
      <c r="A71" s="4" t="s">
        <v>383</v>
      </c>
      <c r="B71" s="11"/>
      <c r="C71" s="4">
        <v>66.0</v>
      </c>
      <c r="D71" s="28">
        <v>6.0</v>
      </c>
      <c r="E71" s="12" t="s">
        <v>221</v>
      </c>
      <c r="F71" s="29" t="s">
        <v>384</v>
      </c>
    </row>
    <row r="72">
      <c r="A72" s="4" t="s">
        <v>385</v>
      </c>
      <c r="B72" s="11"/>
      <c r="C72" s="4">
        <v>67.0</v>
      </c>
      <c r="D72" s="28">
        <v>9.0</v>
      </c>
      <c r="E72" s="12" t="s">
        <v>221</v>
      </c>
      <c r="F72" s="29" t="s">
        <v>385</v>
      </c>
    </row>
    <row r="73">
      <c r="A73" s="4" t="s">
        <v>386</v>
      </c>
      <c r="B73" s="11"/>
      <c r="C73" s="4">
        <v>68.0</v>
      </c>
      <c r="D73" s="28">
        <v>15.0</v>
      </c>
      <c r="E73" s="12" t="s">
        <v>221</v>
      </c>
      <c r="F73" s="29" t="s">
        <v>386</v>
      </c>
    </row>
    <row r="74">
      <c r="A74" s="4" t="s">
        <v>387</v>
      </c>
      <c r="B74" s="11"/>
      <c r="C74" s="4">
        <v>69.0</v>
      </c>
      <c r="D74" s="28">
        <v>15.0</v>
      </c>
      <c r="E74" s="12" t="s">
        <v>221</v>
      </c>
      <c r="F74" s="29" t="s">
        <v>387</v>
      </c>
    </row>
    <row r="75">
      <c r="A75" s="4" t="s">
        <v>388</v>
      </c>
      <c r="B75" s="11"/>
      <c r="C75" s="4">
        <v>70.0</v>
      </c>
      <c r="D75" s="28">
        <v>16.0</v>
      </c>
      <c r="E75" s="12" t="s">
        <v>221</v>
      </c>
      <c r="F75" s="29" t="s">
        <v>388</v>
      </c>
    </row>
    <row r="76">
      <c r="A76" s="4" t="s">
        <v>389</v>
      </c>
      <c r="B76" s="11"/>
      <c r="C76" s="4">
        <v>71.0</v>
      </c>
      <c r="D76" s="28">
        <v>15.0</v>
      </c>
      <c r="E76" s="12" t="s">
        <v>221</v>
      </c>
      <c r="F76" s="29" t="s">
        <v>390</v>
      </c>
    </row>
    <row r="77">
      <c r="A77" s="4" t="s">
        <v>391</v>
      </c>
      <c r="B77" s="11"/>
      <c r="C77" s="4">
        <v>72.0</v>
      </c>
      <c r="D77" s="28">
        <v>18.0</v>
      </c>
      <c r="E77" s="12" t="s">
        <v>221</v>
      </c>
      <c r="F77" s="41" t="s">
        <v>392</v>
      </c>
    </row>
    <row r="78">
      <c r="A78" s="4" t="s">
        <v>393</v>
      </c>
      <c r="B78" s="11"/>
      <c r="C78" s="4">
        <v>73.0</v>
      </c>
      <c r="D78" s="28">
        <v>1.0</v>
      </c>
      <c r="E78" s="12" t="s">
        <v>221</v>
      </c>
      <c r="F78" s="29" t="s">
        <v>394</v>
      </c>
    </row>
    <row r="79">
      <c r="A79" s="4" t="s">
        <v>395</v>
      </c>
      <c r="B79" s="11"/>
      <c r="C79" s="4">
        <v>74.0</v>
      </c>
      <c r="D79" s="28">
        <v>11.0</v>
      </c>
      <c r="E79" s="12" t="s">
        <v>221</v>
      </c>
      <c r="F79" s="41" t="s">
        <v>396</v>
      </c>
    </row>
    <row r="80">
      <c r="A80" s="4" t="s">
        <v>397</v>
      </c>
      <c r="B80" s="11"/>
      <c r="C80" s="4">
        <v>75.0</v>
      </c>
      <c r="D80" s="28">
        <v>14.0</v>
      </c>
      <c r="E80" s="12" t="s">
        <v>246</v>
      </c>
      <c r="F80" s="29" t="s">
        <v>398</v>
      </c>
    </row>
    <row r="81">
      <c r="A81" s="4" t="s">
        <v>399</v>
      </c>
      <c r="B81" s="11"/>
      <c r="C81" s="4">
        <v>76.0</v>
      </c>
      <c r="D81" s="28">
        <v>1.0</v>
      </c>
      <c r="E81" s="12" t="s">
        <v>246</v>
      </c>
      <c r="F81" s="29" t="s">
        <v>399</v>
      </c>
    </row>
    <row r="82">
      <c r="A82" s="4" t="s">
        <v>400</v>
      </c>
      <c r="B82" s="11"/>
      <c r="C82" s="4">
        <v>77.0</v>
      </c>
      <c r="D82" s="28">
        <v>1.0</v>
      </c>
      <c r="E82" s="12" t="s">
        <v>246</v>
      </c>
      <c r="F82" s="41" t="s">
        <v>401</v>
      </c>
    </row>
    <row r="83">
      <c r="A83" s="4" t="s">
        <v>402</v>
      </c>
      <c r="B83" s="11"/>
      <c r="C83" s="4">
        <v>78.0</v>
      </c>
      <c r="D83" s="28">
        <v>17.0</v>
      </c>
      <c r="E83" s="12" t="s">
        <v>246</v>
      </c>
      <c r="F83" s="29" t="s">
        <v>402</v>
      </c>
    </row>
    <row r="84">
      <c r="A84" s="4" t="s">
        <v>403</v>
      </c>
      <c r="B84" s="11"/>
      <c r="C84" s="4">
        <v>79.0</v>
      </c>
      <c r="D84" s="28">
        <v>17.0</v>
      </c>
      <c r="E84" s="12" t="s">
        <v>246</v>
      </c>
      <c r="F84" s="29" t="s">
        <v>403</v>
      </c>
    </row>
    <row r="85">
      <c r="A85" s="4" t="s">
        <v>404</v>
      </c>
      <c r="B85" s="11"/>
      <c r="C85" s="4">
        <v>80.0</v>
      </c>
      <c r="D85" s="28">
        <v>18.0</v>
      </c>
      <c r="E85" s="12" t="s">
        <v>246</v>
      </c>
      <c r="F85" s="29" t="s">
        <v>404</v>
      </c>
    </row>
    <row r="86">
      <c r="A86" s="4" t="s">
        <v>405</v>
      </c>
      <c r="B86" s="11"/>
      <c r="C86" s="4">
        <v>81.0</v>
      </c>
      <c r="D86" s="28">
        <v>12.0</v>
      </c>
      <c r="E86" s="12" t="s">
        <v>246</v>
      </c>
      <c r="F86" s="29" t="s">
        <v>405</v>
      </c>
    </row>
    <row r="87">
      <c r="A87" s="4" t="s">
        <v>406</v>
      </c>
      <c r="B87" s="11"/>
      <c r="C87" s="4">
        <v>82.0</v>
      </c>
      <c r="D87" s="28">
        <v>13.0</v>
      </c>
      <c r="E87" s="12" t="s">
        <v>246</v>
      </c>
      <c r="F87" s="34" t="s">
        <v>407</v>
      </c>
    </row>
    <row r="88">
      <c r="A88" s="4" t="s">
        <v>408</v>
      </c>
      <c r="B88" s="11"/>
      <c r="C88" s="4">
        <v>83.0</v>
      </c>
      <c r="D88" s="28">
        <v>10.0</v>
      </c>
      <c r="E88" s="12" t="s">
        <v>246</v>
      </c>
      <c r="F88" s="29" t="s">
        <v>408</v>
      </c>
    </row>
    <row r="89">
      <c r="A89" s="4" t="s">
        <v>409</v>
      </c>
      <c r="B89" s="11"/>
      <c r="C89" s="4">
        <v>84.0</v>
      </c>
      <c r="D89" s="28">
        <v>1.0</v>
      </c>
      <c r="E89" s="12" t="s">
        <v>246</v>
      </c>
      <c r="F89" s="29" t="s">
        <v>410</v>
      </c>
    </row>
    <row r="90">
      <c r="A90" s="4" t="s">
        <v>411</v>
      </c>
      <c r="B90" s="11"/>
      <c r="C90" s="4">
        <v>85.0</v>
      </c>
      <c r="D90" s="28">
        <v>1.0</v>
      </c>
      <c r="E90" s="12" t="s">
        <v>246</v>
      </c>
      <c r="F90" s="34" t="s">
        <v>412</v>
      </c>
    </row>
  </sheetData>
  <dataValidations>
    <dataValidation type="list" allowBlank="1" sqref="E2:E90">
      <formula1>"tools,curriculum,pedagogy,classes preparation,environment setup,devops concepts,assessment"</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3.43"/>
    <col customWidth="1" min="2" max="2" width="63.29"/>
    <col customWidth="1" min="3" max="3" width="6.43"/>
    <col customWidth="1" min="4" max="4" width="125.86"/>
  </cols>
  <sheetData>
    <row r="1">
      <c r="A1" s="26" t="s">
        <v>413</v>
      </c>
      <c r="B1" s="26" t="s">
        <v>107</v>
      </c>
      <c r="C1" s="44" t="s">
        <v>414</v>
      </c>
      <c r="D1" s="26" t="s">
        <v>415</v>
      </c>
    </row>
    <row r="2">
      <c r="A2" s="45">
        <v>1.0</v>
      </c>
      <c r="B2" s="46" t="s">
        <v>416</v>
      </c>
      <c r="C2" s="47">
        <v>2017.0</v>
      </c>
      <c r="D2" s="48" t="s">
        <v>417</v>
      </c>
    </row>
    <row r="3">
      <c r="A3" s="49">
        <v>2.0</v>
      </c>
      <c r="B3" s="50" t="s">
        <v>418</v>
      </c>
      <c r="C3" s="47">
        <v>2018.0</v>
      </c>
      <c r="D3" s="48" t="s">
        <v>419</v>
      </c>
    </row>
    <row r="4">
      <c r="A4" s="12">
        <v>3.0</v>
      </c>
      <c r="B4" s="46" t="s">
        <v>420</v>
      </c>
      <c r="C4" s="47">
        <v>2018.0</v>
      </c>
      <c r="D4" s="48" t="s">
        <v>421</v>
      </c>
    </row>
    <row r="5">
      <c r="A5" s="51">
        <v>4.0</v>
      </c>
      <c r="B5" s="46" t="s">
        <v>422</v>
      </c>
      <c r="C5" s="47">
        <v>2019.0</v>
      </c>
      <c r="D5" s="48" t="s">
        <v>423</v>
      </c>
    </row>
    <row r="6">
      <c r="A6" s="51">
        <v>5.0</v>
      </c>
      <c r="B6" s="50" t="s">
        <v>424</v>
      </c>
      <c r="C6" s="47">
        <v>2019.0</v>
      </c>
      <c r="D6" s="48" t="s">
        <v>425</v>
      </c>
    </row>
    <row r="7">
      <c r="A7" s="12">
        <v>6.0</v>
      </c>
      <c r="B7" s="46" t="s">
        <v>426</v>
      </c>
      <c r="C7" s="47">
        <v>2019.0</v>
      </c>
      <c r="D7" s="48" t="s">
        <v>427</v>
      </c>
    </row>
    <row r="8">
      <c r="A8" s="51">
        <v>7.0</v>
      </c>
      <c r="B8" s="46" t="s">
        <v>428</v>
      </c>
      <c r="C8" s="47">
        <v>2017.0</v>
      </c>
      <c r="D8" s="48" t="s">
        <v>429</v>
      </c>
    </row>
    <row r="9">
      <c r="A9" s="12">
        <v>8.0</v>
      </c>
      <c r="B9" s="50" t="s">
        <v>430</v>
      </c>
      <c r="C9" s="47">
        <v>2017.0</v>
      </c>
      <c r="D9" s="48" t="s">
        <v>431</v>
      </c>
    </row>
    <row r="10">
      <c r="A10" s="12">
        <v>9.0</v>
      </c>
      <c r="B10" s="52" t="s">
        <v>432</v>
      </c>
      <c r="C10" s="47">
        <v>2019.0</v>
      </c>
      <c r="D10" s="48" t="s">
        <v>433</v>
      </c>
    </row>
    <row r="11">
      <c r="A11" s="51">
        <v>10.0</v>
      </c>
      <c r="B11" s="52" t="s">
        <v>434</v>
      </c>
      <c r="C11" s="47">
        <v>2018.0</v>
      </c>
      <c r="D11" s="48" t="s">
        <v>435</v>
      </c>
    </row>
    <row r="12">
      <c r="A12" s="12">
        <v>11.0</v>
      </c>
      <c r="B12" s="52" t="s">
        <v>436</v>
      </c>
      <c r="C12" s="47">
        <v>2014.0</v>
      </c>
      <c r="D12" s="48" t="s">
        <v>437</v>
      </c>
    </row>
    <row r="13">
      <c r="A13" s="12">
        <v>12.0</v>
      </c>
      <c r="B13" s="50" t="s">
        <v>438</v>
      </c>
      <c r="C13" s="47">
        <v>2016.0</v>
      </c>
      <c r="D13" s="48" t="s">
        <v>439</v>
      </c>
    </row>
    <row r="14">
      <c r="A14" s="51">
        <v>13.0</v>
      </c>
      <c r="B14" s="53" t="s">
        <v>440</v>
      </c>
      <c r="C14" s="47">
        <v>2016.0</v>
      </c>
      <c r="D14" s="48" t="s">
        <v>421</v>
      </c>
    </row>
    <row r="15">
      <c r="A15" s="12">
        <v>14.0</v>
      </c>
      <c r="B15" s="52" t="s">
        <v>441</v>
      </c>
      <c r="C15" s="47">
        <v>2019.0</v>
      </c>
      <c r="D15" s="48" t="s">
        <v>442</v>
      </c>
    </row>
    <row r="16">
      <c r="A16" s="51">
        <v>15.0</v>
      </c>
      <c r="B16" s="52" t="s">
        <v>443</v>
      </c>
      <c r="C16" s="54">
        <v>2019.0</v>
      </c>
      <c r="D16" s="48" t="s">
        <v>444</v>
      </c>
    </row>
    <row r="17">
      <c r="A17" s="12">
        <v>16.0</v>
      </c>
      <c r="B17" s="52" t="s">
        <v>445</v>
      </c>
      <c r="C17" s="47">
        <v>2019.0</v>
      </c>
      <c r="D17" s="48" t="s">
        <v>446</v>
      </c>
    </row>
    <row r="18">
      <c r="A18" s="51">
        <v>17.0</v>
      </c>
      <c r="B18" s="55" t="s">
        <v>447</v>
      </c>
      <c r="C18" s="47">
        <v>2018.0</v>
      </c>
      <c r="D18" s="48" t="s">
        <v>448</v>
      </c>
    </row>
    <row r="19">
      <c r="A19" s="12">
        <v>18.0</v>
      </c>
      <c r="B19" s="56" t="s">
        <v>449</v>
      </c>
      <c r="C19" s="47">
        <v>2019.0</v>
      </c>
      <c r="D19" s="48" t="s">
        <v>450</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4.71"/>
    <col customWidth="1" min="2" max="2" width="8.86"/>
  </cols>
  <sheetData>
    <row r="1">
      <c r="A1" s="57" t="s">
        <v>451</v>
      </c>
      <c r="B1" s="28">
        <v>73.0</v>
      </c>
    </row>
    <row r="2">
      <c r="A2" s="58" t="s">
        <v>452</v>
      </c>
      <c r="B2" s="59">
        <f>countif(Challenges!I:I,"yes")</f>
        <v>44</v>
      </c>
    </row>
    <row r="3">
      <c r="A3" s="57" t="s">
        <v>453</v>
      </c>
      <c r="B3" s="60">
        <f>Analysis!B2/73</f>
        <v>0.602739726</v>
      </c>
    </row>
    <row r="4">
      <c r="A4" s="46"/>
      <c r="B4" s="47"/>
    </row>
    <row r="5">
      <c r="A5" s="57" t="s">
        <v>454</v>
      </c>
      <c r="B5" s="54">
        <v>85.0</v>
      </c>
    </row>
    <row r="6">
      <c r="A6" s="57" t="s">
        <v>455</v>
      </c>
      <c r="B6" s="59">
        <f>countif(Recommendations!I:I,"yes")</f>
        <v>46</v>
      </c>
    </row>
    <row r="7">
      <c r="A7" s="57" t="s">
        <v>456</v>
      </c>
      <c r="B7" s="60">
        <f>Analysis!B6/85</f>
        <v>0.5411764706</v>
      </c>
    </row>
    <row r="8">
      <c r="A8" s="50"/>
      <c r="B8" s="47"/>
    </row>
    <row r="9">
      <c r="A9" s="52"/>
      <c r="B9" s="47"/>
    </row>
    <row r="10">
      <c r="A10" s="52"/>
      <c r="B10" s="47"/>
    </row>
  </sheetData>
  <drawing r:id="rId1"/>
</worksheet>
</file>