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1.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drawingml.chart+xml" PartName="/xl/charts/chart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Quotes-R1" sheetId="1" r:id="rId4"/>
    <sheet state="visible" name="Quotes-R2" sheetId="2" r:id="rId5"/>
    <sheet state="visible" name="Quotes-R3" sheetId="3" r:id="rId6"/>
    <sheet state="visible" name="Quotes-Check" sheetId="4" r:id="rId7"/>
    <sheet state="visible" name="Quotes-Final" sheetId="5" r:id="rId8"/>
    <sheet state="visible" name="Challenge Quotes" sheetId="6" r:id="rId9"/>
    <sheet state="visible" name="Challenges" sheetId="7" r:id="rId10"/>
    <sheet state="visible" name="Recommendation Quotes" sheetId="8" r:id="rId11"/>
    <sheet state="visible" name="Recommendations" sheetId="9" r:id="rId12"/>
    <sheet state="visible" name="Saturation Analysis" sheetId="10" r:id="rId13"/>
    <sheet state="visible" name="Top 10 Analysis" sheetId="11" r:id="rId14"/>
    <sheet state="visible" name="Br x ExBr Analysis" sheetId="12" r:id="rId15"/>
  </sheets>
  <definedNames>
    <definedName name="QuotesCheckAbstract2">'Quotes-Check'!$K:$K</definedName>
    <definedName name="QuotesCheckJudgeAbstract">'Quotes-Check'!$Q:$Q</definedName>
    <definedName name="RecommendationsDuplicatedInterviews">Recommendations!$K:$K</definedName>
    <definedName name="QuotesCheckChallengeRecommendation1">'Quotes-Check'!$E:$E</definedName>
    <definedName name="ChallengesFirstInterviewId">Challenges!$C:$C</definedName>
    <definedName name="RecommendationsFirstInterviewId">Recommendations!$C:$C</definedName>
    <definedName name="QuotesCheckAbstract1">'Quotes-Check'!$G:$G</definedName>
    <definedName name="QuotesCheckInterviewQuote1">'Quotes-Check'!$F:$F</definedName>
    <definedName name="QuotesCheckJudge">'Quotes-Check'!$O:$O</definedName>
    <definedName name="ChallengesAmountOfSameInterview">Challenges!$O:$O</definedName>
    <definedName name="QuotesCheckChallengeRecommendation2">'Quotes-Check'!$I:$I</definedName>
    <definedName name="ChallengeQuotesInterviewId">'Challenge Quotes'!$B:$B</definedName>
    <definedName name="QuotesCheckInterviewQuote2">'Quotes-Check'!$J:$J</definedName>
    <definedName name="ChallengesDuplicatedInterviews">Challenges!$K:$K</definedName>
    <definedName name="QuotesFinalChallengeRecommendation">'Quotes-Final'!$E:$E</definedName>
    <definedName name="RecommendationsAmountOfSameInterview">Recommendations!$O:$O</definedName>
    <definedName name="RecommendationQuotesInterviewId">'Recommendation Quotes'!$B:$B</definedName>
  </definedNames>
  <calcPr/>
</workbook>
</file>

<file path=xl/comments1.xml><?xml version="1.0" encoding="utf-8"?>
<comments xmlns:r="http://schemas.openxmlformats.org/officeDocument/2006/relationships" xmlns="http://schemas.openxmlformats.org/spreadsheetml/2006/main">
  <authors>
    <author/>
  </authors>
  <commentList>
    <comment authorId="0" ref="F7">
      <text>
        <t xml:space="preserve">achei uma recomendação ruim.</t>
      </text>
    </comment>
    <comment authorId="0" ref="C14">
      <text>
        <t xml:space="preserve">mudei o tema por causa do texto do entrevistado.</t>
      </text>
    </comment>
    <comment authorId="0" ref="F14">
      <text>
        <t xml:space="preserve">Samuel tinha colocado essa resposta como duas recomendações distintas. Acordamos em manter apenas uma.</t>
      </text>
    </comment>
    <comment authorId="0" ref="C15">
      <text>
        <t xml:space="preserve">mudei o tema por causa do texto do entrevistado.</t>
      </text>
    </comment>
    <comment authorId="0" ref="F18">
      <text>
        <t xml:space="preserve">achei muito vag</t>
      </text>
    </comment>
  </commentList>
</comments>
</file>

<file path=xl/sharedStrings.xml><?xml version="1.0" encoding="utf-8"?>
<sst xmlns="http://schemas.openxmlformats.org/spreadsheetml/2006/main" count="12460" uniqueCount="4238">
  <si>
    <t>Interview Id</t>
  </si>
  <si>
    <t>Paragraph ID</t>
  </si>
  <si>
    <t>Question</t>
  </si>
  <si>
    <t>Challenge / Recommendation</t>
  </si>
  <si>
    <t>Interview Quote</t>
  </si>
  <si>
    <t>Abstract</t>
  </si>
  <si>
    <t>Comment</t>
  </si>
  <si>
    <t>General Challenges and Recommendations</t>
  </si>
  <si>
    <t>challenge</t>
  </si>
  <si>
    <t xml:space="preserve"> [...]um problema recorrente, é do nível que os alunos chegam pra você</t>
  </si>
  <si>
    <t>Nivel de conhecimento dos alunos insuficiente para iniciar o curso</t>
  </si>
  <si>
    <t>[...]montar um ambiente pra que você comece, de fato</t>
  </si>
  <si>
    <t xml:space="preserve">Dificuldade para configurar o ambiente </t>
  </si>
  <si>
    <t>[...] muitas vezes, você não tem acesso aos recursos computacionais pra montar cenários que realmente você consiga ministrar laboratórios ou ou fazer, ali, laboratórios pra que os alunos aprendam</t>
  </si>
  <si>
    <t>Falta de recursos computacionais para ministração da aula</t>
  </si>
  <si>
    <t>[...]  Alguns datacenters como o Azure da Microsoft, né? Que o IF tem convênio, ele tem um período limitado ali de testes e precisa de cartão de crédito e coisa desse tipo e às vezes os alunos não tem.</t>
  </si>
  <si>
    <t>Mesmo por meio de convênio com instituições educacionais, o uso de nuvens privadas por alunos pode ser difícil</t>
  </si>
  <si>
    <t>Não existe uma conta, tipo, do professor que ele pudesse disponibilizar eh recursos pra o que os alunos aprendam, pra montar esses cenários, né? Nem nem um datacenter local, nem um desses comerciais, muitas vezes não é, não tem todas as possibilidades que você poderia usar, pelo menos não, sem tá vinculado a um convênio ou alguma coisa assim.</t>
  </si>
  <si>
    <t>Nas nuvens públicas, não há suporte para uso do professor no gerenciamento dos recursos do alunos amplamento disponível</t>
  </si>
  <si>
    <t>recommendation</t>
  </si>
  <si>
    <t>[...] Amazon tem às vezes uns convênios, que acho que agora que o IF tá fazendo, que que disponibiliza essas contas de aluno que eles pudessem testar durante um um período</t>
  </si>
  <si>
    <t>Empresa privada, por meio de convênio com instituição educacional,  pode fornecer o recurso computacional para uso do aluno</t>
  </si>
  <si>
    <t>[...] quando você não tem recursos, na na na estrutura que você tá vinculado como uma instituição você tem que delegar que o aluno realmente ache as formas dele</t>
  </si>
  <si>
    <t>Delegar a responsabilidade ao aluno.</t>
  </si>
  <si>
    <t>[...] montar cenários que eles consigam executar no próprio computador</t>
  </si>
  <si>
    <t>montar cenários que os alunos consigam executar no próprio computador</t>
  </si>
  <si>
    <t>[...] às vezes abrir mão de certas coisas que você gostaria de lecionar [...] em detrimento de que não é o aluno não tem a capacidade de executar</t>
  </si>
  <si>
    <t>Abrir mão de ensinar conteúdos que o aluno não consiga executar em sua máquina</t>
  </si>
  <si>
    <t>DevOps Concepts</t>
  </si>
  <si>
    <t>[...] não existe uma taxonomia muito bem aceita de quais são os conceitos devops</t>
  </si>
  <si>
    <t>não existe uma taxonomia definida sobre quais são os conceitos devops</t>
  </si>
  <si>
    <t>[...] isso fosse de alguma forma harmonizada</t>
  </si>
  <si>
    <t>Definir quais são os conceitos devops</t>
  </si>
  <si>
    <t>Assessment</t>
  </si>
  <si>
    <t xml:space="preserve">[...] Com algum tipo de atividade prática. </t>
  </si>
  <si>
    <t>O ensino de Devops requer atividades práticas</t>
  </si>
  <si>
    <t>Sempre vai ser baseado em projeto</t>
  </si>
  <si>
    <t>O ensino de DevOps deve ser baseado em projetos</t>
  </si>
  <si>
    <t> [...] poder avaliar as tem que ser um roteiro de ações práticas que o aluno tem que realizar e você vai avaliar enquanto aquele aluno tá fazendo aquilo ali</t>
  </si>
  <si>
    <t>criar roteiro de atividades práticas de devops</t>
  </si>
  <si>
    <t>Tool / Technology</t>
  </si>
  <si>
    <t>eu acho que uma candidata potencial é o GNS3</t>
  </si>
  <si>
    <t>A ferramenta GNS3 é uma candidata em potencial como ferramenta para ensino de devops</t>
  </si>
  <si>
    <t>[...] não conheço nenhuma ferramenta específica de pra ensino de devops</t>
  </si>
  <si>
    <t>Não se conhece ferramenta específica para ensino de devops</t>
  </si>
  <si>
    <t>todo o ferramental do devops por trás disso [...] tipo, o ansible ou o terraform aqui, ou qualquer outras dessas que outros sabores de automatizadores e de deployment e coisa desse tipo que cê pode usar</t>
  </si>
  <si>
    <t>Ansible, terraform ou ferramentas de automatização de deployment podem ser usadas no ensino de devops</t>
  </si>
  <si>
    <t>Class Preparation</t>
  </si>
  <si>
    <t>A disciplina prática ela ter um equilíbrio entre conceito e prática, sendo que a prática é o mais importante</t>
  </si>
  <si>
    <t>Equilibrar entre apresentação de conceitos e parte prática</t>
  </si>
  <si>
    <t>os conceitos, eles precisam ser objetivamente apresentados, mas que não tem muita discussão sobre</t>
  </si>
  <si>
    <t>Não se aprofundar tanto em discurssões sobre parte teórica de devops</t>
  </si>
  <si>
    <t>a prática que deve ocupar ali oitenta por cento da aula, pelo menos</t>
  </si>
  <si>
    <t>A parte prática deve ocupar pelo menos 80% da aula, pelo menos</t>
  </si>
  <si>
    <t>Curriculum</t>
  </si>
  <si>
    <t>um problema de todo o currículo, é fazer caber</t>
  </si>
  <si>
    <t>Organizar o currículo de modo que caibam as disciplinas</t>
  </si>
  <si>
    <t>a estratégia que a gente usou, foi dividir pela metade mesmo, dividir pela metade a carga horária [...] e ocupar metade dessa carga horária com conteúdos que tenham aptidão mais pra a área de redes [...] E metade dessa com a com conteúdos que tem mais aptidão pra área de programação.</t>
  </si>
  <si>
    <t>Dividir a carga horária das disciplinas entre disciplinas que são mais relacionadas à parte de redes e que são mais relacionadas a programação</t>
  </si>
  <si>
    <t>Environment Setup</t>
  </si>
  <si>
    <t>não consegui montar um ambiente de devops por [...] restrições [...] de autorização [...] da reitoria</t>
  </si>
  <si>
    <t>Problema de autorização por parte da administração da instituição educacional</t>
  </si>
  <si>
    <t>por restrições [...] de autorização [...] da reitoria [...] tive que [...] delegar essa responsabilidade pro aluno. Então, o ambiente passou a ser construído pelo aluno.</t>
  </si>
  <si>
    <t>Por causa de falta autorização da autorização, teve que delegar ao aluno a criação de seu próprio ambiente</t>
  </si>
  <si>
    <t>não existia aí uma ferramenta de de configuração de ambiente [...] ou de automatizado desses ambientes [..] uma vez que passou a ser manual</t>
  </si>
  <si>
    <t>Não havia ferramenta de configuração de ambiente automatizada para dá suporte ao aluno</t>
  </si>
  <si>
    <t>não existia [...] um conjunto [...] de roteiros que o aluno deveria configurar ele mesmo esse ambiente, instalar ele mesmo a ferramenta [...] seja [...] os servidores que ele precisasse</t>
  </si>
  <si>
    <t>Não havia roteiro para o aluno de como instalar as ferramentas usadas durante a disciplina</t>
  </si>
  <si>
    <t>Eu gosto bastante de ter uma disciplina e ter um um livro.</t>
  </si>
  <si>
    <t>A disciplina deve possuir um livro como material apoio e referência</t>
  </si>
  <si>
    <t xml:space="preserve">Não há uma literatura dessa na área de sistemas corporativos </t>
  </si>
  <si>
    <t>A literatura na área de sistemas corporativos é insuficiente</t>
  </si>
  <si>
    <t>Pedagogy</t>
  </si>
  <si>
    <t>Acredito que pra o DevOps, você ter esse equilíbrio [...] se você for pra um curso, que o foco é mais desenvolvimento [...] Levar os alunos aí pra ver o outro lado [...] Ver o Ops e o a galera lá do Ops quando puder ter oportunidade de ver a parte mais do Dev também</t>
  </si>
  <si>
    <t>Buscar o equilibrio no ensino da parte de Dev e da parte de Ops</t>
  </si>
  <si>
    <t>tem uma [...] série de funcionalidades pra serem desenvolvidas e [...] o aluno ele vem sendo treinado pra isso. Mas outros aspectos relacionados mais a colocar o sistema em produção, a ter cuidado [...] depois que o sistema tá lá operacional, não focar mais assim nos aspectos relacionados às funcionalidades do sistema, mas direcionar pra aspectos não funcionais, aí os alunos eles realmente precisam ter uma noção maior disso</t>
  </si>
  <si>
    <t xml:space="preserve">Trabalhar no aperfeiçoamento das habilidades dos alunos relacionadas aos requisitos não-funcionais </t>
  </si>
  <si>
    <t>Depois que tiver no ar, como é que você consegue monitorar e dar e talvez ter um feedback do cliente, talvez coisas pra melhorar, o monitoramento propriamente do sistema, essa parte aí é um desafio, realmente, você conseguir mostrar para o aluno e talvez, fazer com que ele encare isso de uma perspectiva mais profissional, porque já imaginando que ele vai pro mercado e vai se deparar, com essas, muitas situações aí.</t>
  </si>
  <si>
    <t>Fazer o aluno encarar cenários de ensino com perspectiva mais profissional</t>
  </si>
  <si>
    <t>a ferramenta do micro serviços, é uma das ferramentas que eu tenho utilizado com eles. Uma ferramenta, um ambiente em que nós colocamos ali as soluções dos alunos e eles conseguem ter ali uma visão mais da parte de Integração Contínua;</t>
  </si>
  <si>
    <t>Utilização de ferramente de apoio para facilitar entendimento do conceito de Integração Contínua</t>
  </si>
  <si>
    <t>O desafio aí de fazer os alunos verem essa abordagem aí da operacionalização, colocar o sistema lá no ar, manter esse sistema, adicionar as novas funcionalidades e não quebrar o sistema</t>
  </si>
  <si>
    <t>Dificuldade em ensinar como o aluno gerenciar o ambiente em produção, permitindo adição de novas funcionalidades</t>
  </si>
  <si>
    <t>[...] a gente também acaba optando por diversas tecnologias, para parte de conteinalização,  frameworks de desenvolvimento</t>
  </si>
  <si>
    <t>Utiliza-se diversas tecnologias para a parte de contenização e frameworks de desenvolvimento</t>
  </si>
  <si>
    <t xml:space="preserve"> É um ambiente que tem diversas ferramentas integradas, tem servidores de integração, você tem a parte de repositório, tem o GitLab</t>
  </si>
  <si>
    <t>O ambiente utilizado integra diversas ferramentas, incluindo o GitLab</t>
  </si>
  <si>
    <t>A gente consegue avaliar nos alunos o trabalho em equipe, tipo, aqueles que estão colaborando, aqueles que estão mais sobrecarregados, aqueles que estão, talvez, menos sobrecarregados, aqueles que desenvolvem e entregam mais funcionalidades, aqueles que não colaboram com o trabalho em equipe</t>
  </si>
  <si>
    <t xml:space="preserve">Avaliar nível de participação e dificuldade dos alunos em trabalhos em equipe </t>
  </si>
  <si>
    <t>Essa parte de avaliação a gente consegue monitorar, muito por conta da atividade que eles fazem lá, né? Então uma parte, é a ferramenta do sistema da nuvem que nos possibilita, realmente, fazer esse acompanhamento</t>
  </si>
  <si>
    <t>Monitoramento dos alunos por meio de atividades em ambiente de apoio ao aprendizado</t>
  </si>
  <si>
    <t>Como é que a gente consegue ver se o aluno está por dentro do conceito de entrega contínua, que é um dos conceitos que a gente aborda</t>
  </si>
  <si>
    <t>Dificuldade em avaliar entendimento dos alunos sobre Entrega Contínua</t>
  </si>
  <si>
    <t> fazer uma prova, simplesmente avaliando ele, é uma maneira, inclusive, de fazer isso, mas nessa abordagem mais prática, acredito que se prepara mais o aluno e a gente consegue avaliar, de fato, os aspectos mais importantes da formação dele [...] Se ele está realmente adquirindo aquele conhecimento, aquilo que a gente tava querendo realmente transmitir naquele determinado tópico, naquele determinado assunto</t>
  </si>
  <si>
    <t>Preferir avaliações práticas a provas escritas com o objetivo de verificar aprendizado do aluno sobre o assunto</t>
  </si>
  <si>
    <t>É mais esse contato inicial que parece que assusta eles um pouco mais, faz com que eles vão pra outras, quando eles chegam</t>
  </si>
  <si>
    <t>O ambiente adotado pelos instrutores pode assustar os alunos fazendo com que migrem para outras ferramentas</t>
  </si>
  <si>
    <t>Normalmente eles já chegam com o sistema às vezes implantado em um outro ambiente, Que é bem comum eles utilizarem esse ambiente, e aí a gente tem que trazer eles pedindo realmente que eles utilizem a nossa</t>
  </si>
  <si>
    <t>Solicitar aos alunos que adotem as ferramenas utilizadas pelos instrutores</t>
  </si>
  <si>
    <t>o docker, [...] para utilizar, eles normalmente têm uma dificuldade maior nesse tema, no início.</t>
  </si>
  <si>
    <t>Dificuldade inicial em utilizar a ferramenta de contenização Docker</t>
  </si>
  <si>
    <t>a parte realmente de colocar inicial tem esse choque de essa realidade aí dos alunos em que eles tem que sair de uma ferramenta que eles já estão lá com o sistema rodando e trazê-la para a nossa ferramenta.</t>
  </si>
  <si>
    <t>Choque inicial do alunos em ter que troca de ferramentas em que suas aplicações já estavam funcionando para a adotada pelo instrutor</t>
  </si>
  <si>
    <t>uma editora parceira, inclusive, da diretoria, que trouxe um catálogo de livros para gente dar uma olhada e eu fui atrás, inclusive de um livro no tema, né? De sistemas corporativos, né, dessa parte de DevOps, e simplesmente, eu não encontrei no catálogo.</t>
  </si>
  <si>
    <t>Dificuldade em encontrar livro de sistemas corporativos, relacionados a DevOps</t>
  </si>
  <si>
    <t>o conceito de entrega contínua [...] O difícil é pôr em prática [...] quando eles, em equipe, precisam lançar uma determinada funcionalidade e fazer com que ela não quebre o sistema</t>
  </si>
  <si>
    <t>Dificuldade dos alunos em por em prática o conceito de Entrega Contínua quando é necessário adicionar novas funcionalidades ao sistema sem que a build quebre</t>
  </si>
  <si>
    <t>Ter uma visão mais prática e, de repente, fazer alguma avaliação, assim, pedindo pra que os alunos apresentem algo[...] Inclusive, é assim que eu faço. Eles utilizam o sistema e eu peço sempre pra que eles socializem.</t>
  </si>
  <si>
    <t>Avaliações práticas porém pedindo para o aluno realizar apresentação</t>
  </si>
  <si>
    <t>Eles optam por [...] conseguir colocar esse sistema no ar pra que um cliente veja, né? O cliente nesse aspecto, são os próprios professores que estão avaliando.</t>
  </si>
  <si>
    <t>Adotar abordagem mais profissional em que os professores agem como clientes</t>
  </si>
  <si>
    <t>os aspectos que a gente aborda de integração contínua, [...] utilização das ferramentas que a gente usa no ambiente, no dia-a-dia, essas ferramentas que facilitam o desenvolvimento que agilizam mais a entrega; esse é um dos tocs que a gente tem, né? Na disciplina, acredito que esses temas devem fazer parte do currículo deles,eles devem ter contato com essa temática aí</t>
  </si>
  <si>
    <t>A abordagem de Integração Contínua e de ferramentas presentes no dia-a-dia devem estar presentes nos currículos</t>
  </si>
  <si>
    <t>Dificuldade maior mesmo, que eu posso ressaltar, é justamente a estruturação, realmente, talvez da sequência das aulas por não ter esse material que que norteia,</t>
  </si>
  <si>
    <t>Dificuldade em estruturar as aulas por falta de material referência adotável para a disciplina</t>
  </si>
  <si>
    <t>[...] identificar qual escopo relacionado à DevOps que condiz com a necessidade de aprendizado daquele grupo</t>
  </si>
  <si>
    <t>Identificar quais partes de devops o grupo tem mais necessidade de aprender. Se o grupo for composto mais de Devs então será a parte Ops, vice-versa.</t>
  </si>
  <si>
    <t>a mesma disciplina de DevOps hoje ela se aplica na instituição em que eu leciono em relação a turmas voltadas para segurança e gestão de vulnerabilidades e turmas voltadas para desenvolvimento e construção de aplicações</t>
  </si>
  <si>
    <t>Pode-se fazer uso de mesma disciplina de devops para turmas de operação focada em segurança e para turmas de desenvolvimento</t>
  </si>
  <si>
    <t>em DevOps [...] as turmas de segurança elas estão muito mais em um contexto de entender o que representa do ponto de vista de gestão de vulnerabilidade e de arquitetura, de rede em relação a nuvem,</t>
  </si>
  <si>
    <t>Ensinar a parte de gestão de vunerabilidade, de arquitetura e rede em nuvem para as turmas de segurança em devops</t>
  </si>
  <si>
    <t>[...] turmas de desenvolvimento [...] querem entender melhor a questão do DevOps relacionado com processos de delivery contínuo ou como aquilo se traduz na prática e em ferramentas e modelos de entrega que agilizem na construção de aplicações</t>
  </si>
  <si>
    <t xml:space="preserve">Ensinar a parte de continous delivery num contexto mais prático para turmas de desenvolvimento, utilizando de ferramentas e modelos de entrega para isso </t>
  </si>
  <si>
    <t>a recomendação é entender qual é o contexto de aprendizado da turma</t>
  </si>
  <si>
    <t>Buscar entender qual é a contexto da turma, se é mais focada parara a parte de desenvolvimento ou a de operação</t>
  </si>
  <si>
    <t>o principal desafio é conseguir passar corretamente aos alunos a ideia de que DevOps trata-se de uma cultura</t>
  </si>
  <si>
    <t>Dificuldade no ensino de devops como uma cultura</t>
  </si>
  <si>
    <t xml:space="preserve">o aluno espera [...] aprender aquela ferramenta matadora, que ajudará no contexto prático da vida dele, seja em processo de desenvolvimento, segurança ou operações. </t>
  </si>
  <si>
    <t>Alunos possuem a ilusão que devops restrige-se a ferramentas cuja capacidade supra todos os problemas</t>
  </si>
  <si>
    <t>muito mais importante [...] é entender que conceitos como observability, cultura de desenvolvimento, comunicação, compartilhamento, são cernes, são o core do que se propõe em relação a DevOps.</t>
  </si>
  <si>
    <t>É importante o ensino de  conceitos como observabilidade e outros aspectos culturais como compartilhamento e comunicação.</t>
  </si>
  <si>
    <t>o aluno [...] quer conhecer as ferramentas muito mais do que entender a cultura DevOps.</t>
  </si>
  <si>
    <t>O aluno limita-se no conhecimento de ferramentas, dessinteresando-se pela parte cultural de devops</t>
  </si>
  <si>
    <t xml:space="preserve">Apresentar conceitos que estão bem estabelecidos na comunidade, como a questão dos eixos, [...] do processo de DevOps, </t>
  </si>
  <si>
    <t xml:space="preserve">Apresentar conceitos bem estabelecidos pela comunidade devops como o processo de devops </t>
  </si>
  <si>
    <t>Apresentar [...] cases sobre como isso se traduz, [...] eliminação dos silos entre operações e desenvolvimento</t>
  </si>
  <si>
    <t>Apresentar caso de uso de devops onde por exemplo, houve eliminação de silos entre a parte desenvolvimento e a parte de operação</t>
  </si>
  <si>
    <t>Apresentar conceitos [...] em um contexto prático que o aluno tende a entender melhor.</t>
  </si>
  <si>
    <t>Apresentar conceitos devops em contexto práticos para o aluno</t>
  </si>
  <si>
    <t> sempre começar pela cultura antes de ir para o ensino ou para demonstração com base em ferramentas</t>
  </si>
  <si>
    <t>Antes de ensinar a parte ferramental de devops, apresentar a parte cultural</t>
  </si>
  <si>
    <t xml:space="preserve">O desafio nesse aspecto refere-se [..] a questão dos laboratórios  [...] em geral você tem [..]  um range grande de soluções, você tem um ecossistema muito grande de possibilidades de como testar ou demonstrar um conceito, mas você acaba sempre por uma questão de tempo versus desenvolvimento da aula </t>
  </si>
  <si>
    <t>Limitação do desenvolvimento dos laboratórios em aula devido ao pouco tempo</t>
  </si>
  <si>
    <t>construir um laboratório [...] coeso, em um cenário específico, que consiga demonstrar melhor o conceito que está sendo passado ali durante o ensino.</t>
  </si>
  <si>
    <t>Construir laboratório coeso, com cenário específico</t>
  </si>
  <si>
    <t>a maioria dessas ferramentas possuem camadas gratuitas, no caso de provedores Cloud. Todos os três principais possuem uma versão voltada para a educação e isso é muito bom. Isso para o professor é um facilitador muito grande.</t>
  </si>
  <si>
    <t>Professor deve buscar fazer o uso de ferramentas gratuita parciais ou totais como as provedoras de nuvem pública</t>
  </si>
  <si>
    <t>colocar o aluno num contexto muito prático, ele consegue ver na aula uma ferramenta que ele provavelmente já viu alguém utilizando na empresa ou já ouviu falar. Isso traz uma imersão muito melhor na aula</t>
  </si>
  <si>
    <t xml:space="preserve">Buscar referências de contextos práticos vividos pelos alunos para facilitar o entendimento como o uso de ferramentas conhecidas </t>
  </si>
  <si>
    <t>a minha recomendação é abusar de ferramentas que estão no mercado sempre olhando muito para o mercado, porque não deixa de ser uma disciplina muito correlacionada com o mercado de trabal</t>
  </si>
  <si>
    <t>Fazer uso de ferramentas que estejam no mercado</t>
  </si>
  <si>
    <t>adequar a ementa de acordo com o perfil de aluno que você tem.</t>
  </si>
  <si>
    <t>Adequar a ementa de acordo com o perfil dos alunos</t>
  </si>
  <si>
    <t>Essa ementa, você terá algumas possibilidades de criar mutações nessa ementa, pois o conceito DevOps, ele é muito aberto, né, ele engloba áreas diferentes entre desenvolvimento, segurança e operações</t>
  </si>
  <si>
    <t>Criar mutações na ementa devido a vastidão de devops englobando a parte de desenvolvimento, operação e segurança</t>
  </si>
  <si>
    <t>Sempre passar pela questão da cultura, pela questão dos pilares, [...] por algum case</t>
  </si>
  <si>
    <t>Buscar sempre o ensino da parte cultura e do pilares, podendo fazer uso de caso de uso</t>
  </si>
  <si>
    <t xml:space="preserve">ensinar a DevOps [...] como [...] se aplica prático. </t>
  </si>
  <si>
    <t>Ensinar devops de forma prática, aplicando-a</t>
  </si>
  <si>
    <t>Identificar os cenários, o caso da Google. A Google, eles têm um conceito muito forte em relação a devops e a ideia do que é o papel, por exemplo, do profissional de SRE de resiliência de ambientes dentro do, da estrutura DevOps.</t>
  </si>
  <si>
    <t>Identificar os cenários de uso de devops a exemplo do caso da google e a relação entre devops e do profissional de sre</t>
  </si>
  <si>
    <t>o principal desafio [... ] é quando você lida com o perfil de aluno que não está tão inserido nessa cultura ou que tem isso totalmente como novidade</t>
  </si>
  <si>
    <t>É desafior ensinar para alunos que não conhecem devops, muito menos estejam inseridos em sua parte cultura</t>
  </si>
  <si>
    <t xml:space="preserve">Se o aluno tá num contexto onde ele sempre esteve na área acadêmica ou ele nunca teve um contato prático com nenhuma dessas características do desenvolvimento de software, é provável que pra ele seja muito mais desafiador </t>
  </si>
  <si>
    <t>Há uma maior dificuldade entendimento de devops por parte dos alunos cuja formação é mais acadêmica, que não tenham experiência na parte de desenvolvimento de software</t>
  </si>
  <si>
    <t>Se o aluno tá num contexto onde ele sempre esteve na área acadêmica ou ele nunca teve um contato prático com nenhuma dessas características do desenvolvimento de software, [...] para o professor se torna muito mais desafiador ensinar o conceito DevOps esse perfil de aluno</t>
  </si>
  <si>
    <t>Há uma maior dificuldade no ensino por parte dos professores para alunos voltados a formação mais acadêmica que não tenham experiência na parte de desenvolvimento de software</t>
  </si>
  <si>
    <t xml:space="preserve">para uma turma de gestão de projetos [...] as analogias [...]  tinham que ser muito bem estruturadas pra conseguir fazer com que ele conseguisse visualizar ali ou interpretar o que você, o que eu queria demonstrar em relação a DevOps. </t>
  </si>
  <si>
    <t>Para turma de gestão de projetos, durante o ensino é necesssário fazer uso de analogias bem estruturas, que estão relacionadas a devops conhecidas por eles</t>
  </si>
  <si>
    <t>para uma turma de gestão de projetos [...] muitas vezes eu tinha que fazer uma introdução [...] baseada em analogias direta ou analogias com outros cenários que ele já encontrou na parte de gestão de produtos para ele entendesse sobre o que eu estava falando.</t>
  </si>
  <si>
    <t>Para turma de gestão de projetos, durante o ensino é necesssário introduzir devops por meio de analogias diretas ou que façam uso de cenários conhecidos por eles</t>
  </si>
  <si>
    <t>DevSecOps Challenges and Recommendations</t>
  </si>
  <si>
    <t>em relação ao DevSecOps [...] é necessário que você tenha ali alguma base sobre a parte de segurança, de gestão de vulnerabilidades, porque senão o DevOps ficará muito longe do que é o contexto dele na prática.</t>
  </si>
  <si>
    <t>Para o entendimento de devopsec, deve-se ter alguma base da parte de segurança e gestão de vunerabilidades</t>
  </si>
  <si>
    <t xml:space="preserve">DevSecOps [...] é o tipo de disciplina que ela exige conhecimento forte em duas áreas, entre ambas distintas, na área de segurança, mas ao mesmo tempo na área de desenvolvimento para conseguir encontrar o elo entre as duas e aí sim, chegar no que o aluno 
  </t>
  </si>
  <si>
    <t>devops exige conhecimento de áreas distintas na área de segurança e de desenvolvimento</t>
  </si>
  <si>
    <t>Other Challenge and Recommendation</t>
  </si>
  <si>
    <t xml:space="preserve">sempre focar na cultura, as ferramentas são legais, atraem um aluno, criam um cenário prático, mas ah, erros de implementação de DevOps na prática se dão, principalmente, por empresas e profissionais que não interpretam isso é como uma cultura. </t>
  </si>
  <si>
    <t>Focar no ensino da parte cultural de devops, não se limitando a parte de ferramentas</t>
  </si>
  <si>
    <t>O primeiro desafio é desacoplar a ideia de que [...] sobre DevOps [...] entregar uma fórmula</t>
  </si>
  <si>
    <t>Desasociar a ideia que devops restrigue-se a parte de ferramentas</t>
  </si>
  <si>
    <t xml:space="preserve">explicar como a metodologia pode ser aplicada, com exemplos e, inclusive, ferramentas. </t>
  </si>
  <si>
    <t>Durante a explicação de como aplicar a metodologia devops, fazer uso de exemplo incluindo ferramentas</t>
  </si>
  <si>
    <t xml:space="preserve">os alunos, eles chegam com a ideia de que eles um conjunto de ferramentas X pra entregar no dia a dia deles e ferramentas só um pedaço e um pedaço pequeno dentro do processo de entrega, que é mais cultural e é mais pessoal do que ferramental, né? Organizacional até, eu diria. </t>
  </si>
  <si>
    <t>alunos limitam devops a parte de ferramentas, esquecendo a parte cultural</t>
  </si>
  <si>
    <t xml:space="preserve"> saber na hora de apresentar uma ferramenta nova, </t>
  </si>
  <si>
    <t>Ajusta o tempo correto de inserir os alunos a uma nova ferramenta</t>
  </si>
  <si>
    <t xml:space="preserve"> ouvir o que essas pessoas têm. </t>
  </si>
  <si>
    <t xml:space="preserve">Buscar um cultura de comunicação, onde se prestar atenção na opnião de outros </t>
  </si>
  <si>
    <t xml:space="preserve">  Então, se alguma pessoa teve uma experiência mais traumática em tal etapa do processo de entrega, você saber usar isso na hora certa com ela e personificar com ela, falar, olha, como você me disse naquela parte, uma solução que talvez funcionaria pra você, de novo, porque não tem solução pronta, seria aplicar essa tecnologia para tentar mitigar ou resolver. </t>
  </si>
  <si>
    <t>Durante as explicações, fazer uso da dificuldades enfrentadas pelos alunos, apontando soluções com uso de metodologia devops</t>
  </si>
  <si>
    <t xml:space="preserve">  a dica seria, enxergar os alunos, porque na maioria deles, eles já trabalham como atores importantes, mas do que o conteúdo, em si, porque o conteúdo é óbvio que a gente tem que cobrir, mas ainda mais remotamente eu ouvi, acho que também é muito importante mais do que ficar falando, por exemplo.</t>
  </si>
  <si>
    <t>Buscar fazer uso das experiências e opniões dos alunos</t>
  </si>
  <si>
    <t>restrição de capacidade da máquina do aluno</t>
  </si>
  <si>
    <t>Alunos podem ter dificuldade no aprendizado devido a restrição na capacidade de sua máquina</t>
  </si>
  <si>
    <t xml:space="preserve">Para quem é de infraestrutura e só está acostumado a acessar o servidor, você fazer o build com uma ferramenta como o Maven, por exemplo, pode ser um desafio pra ele </t>
  </si>
  <si>
    <t>alunos da parte de operação podem ter dificuldade em atividades de operação como geração de build, com a ferramenta maven</t>
  </si>
  <si>
    <t>na máquina dele, às vezes a versão do Maven que o desenvolvedor tem é diferente da sua.</t>
  </si>
  <si>
    <t>Dificuldade devido a uso de versão errada de ferramenta</t>
  </si>
  <si>
    <t xml:space="preserve">eu recomendo [...] Mover toda a didática para uma nuvem. [...] entre em contato com a AWS, que eles têm um programa de estudantes, ou com o Google, com Ali Baba, com Azure, com a IBM Cloud. </t>
  </si>
  <si>
    <t>Buscar mover a didática para um serviço de nuvem pública como aws e azure</t>
  </si>
  <si>
    <t>Nem usar VM, máquinas virtuais, porque a máquina virtual demanda recurso de hardware. E não é sempre que você tem disponibilidade pra subir duas máquinas virtuais na máquina do aluno.</t>
  </si>
  <si>
    <t>Evitar uso de máquina virtuais devido demandarem recurso de hardware, nem sempre disponível na máquina dos alunos</t>
  </si>
  <si>
    <t xml:space="preserve">Google, com Ali Baba, com Azure, com a IBM Cloud [...] usar [...] esses ambientes [...] como alavancar o ensino, como complemento ou até vez como didática. </t>
  </si>
  <si>
    <t>Usar serviços de nuvem durante ensino ou como forma de complementação</t>
  </si>
  <si>
    <t xml:space="preserve">a gente depende de internet, vou dar um exemplo muito simples, você vai usar a máquina virtual, por mais que você use o Vagrant, por exemplo, ele precisa baixar uma imagem base. E dependendo da localização do aluno, demora dois minutos e chega a demorar duas horas. </t>
  </si>
  <si>
    <t>Alunos podem ter uso limitado de internet que dificulta atividades como downlod de imagens de so para máquina virtuais</t>
  </si>
  <si>
    <t>vou subir o ambiente aqui na AWS usando Terraform. Então, provisione as máquinas dos alunos com TerraForm, já explica pros alunos o que você tá fazendo, na hora certa, dentro do cronograma, mas desacoplar a necessidade de que a infraestrutura,</t>
  </si>
  <si>
    <t>Utilizar a atividade de configuração do ambiente no ensino, explicando aos alunos o que foi realizado no momento ideal</t>
  </si>
  <si>
    <t xml:space="preserve">a expectativa dos alunos entregar alguma coisa, por a mão, porque são pessoas técnicas, é conseguir balancear o que é conceito e o que é prática e mostrar a importância, o valor do que você tá explicando. </t>
  </si>
  <si>
    <t>Balancear entre o ensino da parte conceito e da parte prática</t>
  </si>
  <si>
    <t>colocar a mão em alguma coisa, pelo menos uma vez a cada, depende muito [...] do cronograma, mas a cada, vou colocar a cada oito horas é uma métrica bem subjetiva, mas você passar algo que seja prático a cada oito horas com exemplos que o aluno interaja, pra você não ficar numa palestra de horas a fio falando, é importante, saber dividir e balancear</t>
  </si>
  <si>
    <t>Estabelecer períodos fixo para realização de atividade prática</t>
  </si>
  <si>
    <t xml:space="preserve">Ele tem até vinte, vinte e cinco minutos, ele tem a sua atenção. Então, se você não conseguir quebrar isso, alternar o tom de voz que você fala, interagir com ele, se ficar só falando, você perde o aluno depois de vinte minutos facilmente. </t>
  </si>
  <si>
    <t>Buscar iteração com os alunos, inibindo a perda de atenção</t>
  </si>
  <si>
    <t>Então, acho que é importante você quebrar tanto o tom de voz, a didática que você tá usando, colocar exemplos, vai explicar algo que é teórico, como o Lean, por exemplo, faz um exercício que simula o processo de Lean, não no software, pode até ser com software, pode ser com blocos, use o trello, interaja com o aluno, porque se você ficar mais de vinte minutos falando, enfim, qualquer situação, inclusive numa palestra normal, você perde o aluno, você perde a audiência, na verdade.</t>
  </si>
  <si>
    <t>Meios na apresentação de conceitos teóricos, realizar atividades práticas para fixação</t>
  </si>
  <si>
    <t xml:space="preserve">Se é uma turma que, especificamente, foi passado pra gente as necessidades e as características antes, como limitações de acesso, limitação de instalação de software na máquina, eu preparo a aula e a gente tem o cronograma como um todo, que é pronto, tem começo, meio e fim. </t>
  </si>
  <si>
    <t>Buscar conhecer a turma de antemão as caracteríticas como limitação de instalação de sofwares na máquina para adequar as aulas</t>
  </si>
  <si>
    <t xml:space="preserve">Se é uma turma que, especificamente, foi passado pra gente as necessidade[...], a gente adapta para circunstâncias dos alunos. </t>
  </si>
  <si>
    <t>Adequar as aulas as circunstâncias da turma caso se saiba as especificações da turma de antemão</t>
  </si>
  <si>
    <t xml:space="preserve">se for um caso onde eu não tenho acesso a quase nada, eu preciso ir pra uma Cloud pra fazer aula com o aluno, mesmo que não envolva dentro do curso, em si. Eu preciso fazer tudo remoto. </t>
  </si>
  <si>
    <t>Utilizar de serviços de nuvem pública caso não seja conhecida as característica da turma de antemão</t>
  </si>
  <si>
    <t>se for uma turma mista, a gente previamente envia aos alunos um documento que mostra, né? Quais são os pré-requisitos para que ele faça o curso, software, versões de software, como instalar, bem documentado.</t>
  </si>
  <si>
    <t>Enviar para o aluno documento contendo pré-requisitos do curso caso não se conheça as específicações de todos os alunos da turma</t>
  </si>
  <si>
    <t xml:space="preserve">a entrega final envolve reavaliar o processo de ambiente. </t>
  </si>
  <si>
    <t xml:space="preserve">Como projeto final, deve-se reavaliar o processo de software vinculado ao ambiente </t>
  </si>
  <si>
    <t>São documentos que a gente manda em etapas separadas do curso [...] gente quebra os documentos de infraestrutura de propósito para poder fazer o processo de Kaisen dentro do Lean para unificar a documentação para que o aluno entenda a dificuldade que ele enfrentou e a dificuldade que ele vai enfrentar no dia a dia.</t>
  </si>
  <si>
    <t>Criar documento de apoio ao aluno relacionado a infraestrutura quebra em partes, para que o aluno aos poucos vá passando as etapas</t>
  </si>
  <si>
    <r>
      <rPr>
        <rFont val="Arial"/>
        <color theme="1"/>
        <sz val="12.0"/>
      </rPr>
      <t>Eu prefiro tirar durante a aula para mostrar os os bloqueios do dia a dia que é a entrega no fim das contas. Mas a recomendação é usar os bloqueios de infraestrutura para você alimentar o seu curso, como didática. Você fala, olha, lembra o bloqueio que a gente teve? A dependência, o software é feito em Java 8 e a gente tentou compilar uma máquina que tinha Java 15. Está vendo esse problema? Como a gente resolve? A gente analisa, roda alguns frameworks de análise de processo, porque ferramenta a gente pode falar de qualquer linguagem, mas usar isso como experiência.</t>
    </r>
    <r>
      <rPr>
        <rFont val="Arial"/>
        <color theme="1"/>
        <sz val="12.0"/>
      </rPr>
      <t xml:space="preserve"> </t>
    </r>
  </si>
  <si>
    <t>Utilizar os bloqueios de infraestrutura enfrentados pelos alunos para alimentação discurssões entre os alunos sobre como solucionar os problemas</t>
  </si>
  <si>
    <t>do ponto de vista didático, a gente deixa uma ou duas horas antes de cada, cada dia, tem uma equipe de infra específica pra tirar alguma dúvida do aluno.</t>
  </si>
  <si>
    <t>Há uma equipe de apoio específica para tirar as dúvidas dos alunos quanto a parte de infraestrutura relacionada</t>
  </si>
  <si>
    <t>perceber o quanto você está se desviando, porque o aluno tá com um problema que é muito específico dele e perde um pouco a didática. Então, saber limitar também, trabalhar, depois, com o aluno, falar, olha, a gente vai conversar com mais calma, por conta dessa situação sua ser muito específica. Tem que ter um ponto de quebra, porque senão você perde os outros alunos</t>
  </si>
  <si>
    <t xml:space="preserve">Evitar apronfudar em problemas específicos enfretados por alunos, lidando de forma personalizada </t>
  </si>
  <si>
    <t xml:space="preserve">o Notion ou o Trello [...], você precisa ter uma ferramenta de duas vias, onde você e o aluno interajam. Não um Gist, por exemplo, porque o Gist, apesar de você conseguir liberar somente, porque o aluno precisa pôr o feedback dele lá também. </t>
  </si>
  <si>
    <t>Ferramentas como o notion e o trello permitem a comunicação de duas vias como aluno e professor</t>
  </si>
  <si>
    <t xml:space="preserve">Tem algumas tarefas que a gente monta lá, um post mortem do processo que falha, eu preciso de uma ferramenta de feedback que o aluno também interaja. </t>
  </si>
  <si>
    <t>Utilizar ferramentas que permitam a iteração em tarefas como post mortem, buscando feedback do aluno</t>
  </si>
  <si>
    <t>No zoom, eu vou usar o zoom como principal exemplo, eu acho que o maior dificuldade que eu vejo é em relação a quanto de recurso ele consome, tanto de máquina quanto de internet.</t>
  </si>
  <si>
    <t>Ferramentas com o zoom, podem requerer consumo considerável de processamenta da máquina do alunos e do consumo de internet</t>
  </si>
  <si>
    <t xml:space="preserve">Como são turmas reduzidas de até dez alunos [...] Você precisa observar cada aluno e, e aí, vai, de você ouvir bastante, também, qual que era a dificuldade que ele tinha e aonde ele chegou. </t>
  </si>
  <si>
    <t>Para turmas reduzidas, é possível observar mais de perto o progresso de cada aluno</t>
  </si>
  <si>
    <t xml:space="preserve">Então, aí, a gente faz uma avaliação final por aluno, mas a percepção que a gente teve dele. Se ele foi bem, se ele teve muita dúvida, qual foi o ponto que mais gerou dúvida pra ele? </t>
  </si>
  <si>
    <t>A avaliação final é fortemente baseada na percepção do professor sobre como entendimento do alunos sobre devops, solidificado pela prática</t>
  </si>
  <si>
    <t xml:space="preserve">eles também avaliam o curso no final, a gente manda um link e recomendo que faça isso, faz a avaliação em alguns tópicos pra fazer o NPS, eu acho que o NPS é a métrica universal para avaliação, eu não sei se vocês põe debaixo do coloca debaixo do radar, o Net Promoter Score, partir de zero a dez, sendo zero a zero a sete é Detractor, oito é passivo, nove dez é promoter baseada num set de perguntas, que você não pode induzir o aluno. </t>
  </si>
  <si>
    <t>Busca a avalição dos alunos sobre os pontos de melhorias e pontos bons do curso, utilizando da métrica Net Promoter Score</t>
  </si>
  <si>
    <t>quando o pessoal entra pra fazer esse, essa, esse feedback com os alunos, entender, os alunos falam também com uma pessoa que não sou eu, que no último dia, eu saio, é uma recomendação que eu dou, eu saio da conferência para deixar os alunos à vontade, a conversarem com essa pessoa comete algum deslize durante o treinamento e a pessoa se incomodou e com você lá dentro ela vai ficar um pouco, um pouco com medo de expor apesar de também ser por email.</t>
  </si>
  <si>
    <t>Durante a avaliação do curso, é interessante o instructor/professor deixar essa atividade para outro responsável para evitar que os alunos se sintam constrangidos</t>
  </si>
  <si>
    <t>Se possível gravar, pelo menos, um treinamento para uma autoscopia no final. Vê se você tem algum vício de linguagem, se teve algum processo que não encaixou do jeito que você imaginou, que ia encaixar, porque na hora que você tá falando e fazendo, às vezes, passa um detalhe que não deveria.</t>
  </si>
  <si>
    <t>O professor deve buscar melhoria na forma de apresentação, mais especificamente na fala e vícios, através de gravações de suas aulas</t>
  </si>
  <si>
    <t xml:space="preserve">mesclar, teórico e prático [...] é importantíssimo. </t>
  </si>
  <si>
    <t>É importante mesclar o ensino da parte teórica e da parte prática de devops</t>
  </si>
  <si>
    <t xml:space="preserve">Falar sobre a cultura é importante, sobre respeitar as individualidades do seu time, entender que não é uma cultura de culpa e nem de, eu não vou implementar DevOps para reduzir o quadro de funcionários. </t>
  </si>
  <si>
    <t>Ensinar a parte cultura de devops como respeitar as individualidades do time e buscar uma cultura de não culpa</t>
  </si>
  <si>
    <t>precisa-se falar da parte teórica sobre o Lean que é o método da Toyota, Kaisen também é bem importante,</t>
  </si>
  <si>
    <t>É necessário ensinar a parte téórica de devops relacionada ao lean</t>
  </si>
  <si>
    <t xml:space="preserve">precisa-se falar da parte teórica sobre [...] Agile que tá muito vinculada ao processo DevOps, né? Difícil você aplicar DevOps no ambiente que não tenha, pelo menos, um pouquinho de agilidade. </t>
  </si>
  <si>
    <t>É necessário ensinar a parte téórica de devops relacionada ao agile</t>
  </si>
  <si>
    <t>do que é prático, da ementa, é fazer um software de ponta-a-ponta, [...] Mas, de ponta a ponta, e o final, que é o monitoramento.</t>
  </si>
  <si>
    <t>fazer um software de ponta-a-ponta, passando pelas etapas de devops até a etapa de monitoramento</t>
  </si>
  <si>
    <t>da parte de idealizar o software [...] deixar ele desacoplado da máquina, usando o Maven por exemplo,</t>
  </si>
  <si>
    <t>Utilizar ferramentas como o maven para desacoplar da máquina</t>
  </si>
  <si>
    <t xml:space="preserve">o software [...] fazer o build com o Jenkins </t>
  </si>
  <si>
    <t>Utilizar o jenkins relacionada a parte de build do software</t>
  </si>
  <si>
    <t>build do software [...]  entregar isso numa VM, de alguma maneira, da melhor maneira que você entenda, que é possível na sua suíte [...] Você pode entregar com o Docker</t>
  </si>
  <si>
    <t>Entregar a build do software por meio de máquinas virtuais ou outra forma melhor como Docker</t>
  </si>
  <si>
    <t>o software [...] uma ferramenta de monitoramento, no final, pra pra você olhar. [...] Olhar um Grafana, por exemplo, com o Prometheus, que é um software mais free, assim.</t>
  </si>
  <si>
    <t>Ferramentas como grafana e prometheus podem ser utilizado no monitoramento</t>
  </si>
  <si>
    <t xml:space="preserve">da ementa, é fazer um software de ponta-a-ponta, entender o software na sua concepção. A gente já entrega pro aluno isso meio que pronto, né? Porque a gente não vai criar um software do zero, porque o código já tá meio que lapidado, é um código de um fórum em Java, onde a gente tem algumas características que dependem da máquina para fazer o build, então nós vamos desacoplar. </t>
  </si>
  <si>
    <t>Durante o ensino do desenvolvimento do software de ponta-a-ponta, entregar código meio lapidado para os alunos vindo fontes como fóruns</t>
  </si>
  <si>
    <t xml:space="preserve">Então, primeira coisa, desacoplar a conexão com o banco que está versionada no código fonte. Pode continuar versionado as String os apesar de não ser a melhor prática, mas você não tem que comentar o código pra trocar o ambiente, porque o TomCat quem vai ler isso daí. Versionar num git, usar uma integração contínua como o Jenkins, por exemplo, e um deploy contínuo, um delivery contínuo com, pode ser com um Ansible, pode ser com qualquer ferramenta que você entregue ou numa VM ou na Cloud. </t>
  </si>
  <si>
    <t>A primeria etapa durante o ensino, é realizar o desacoplamento da conexão do banco de dados do código, então versionar o código, inserir integração contínua com ferramentas como o jenkins e finalizar com entregar contínua com uso de serviços de nuvem pública ou ferramentas com o ansible</t>
  </si>
  <si>
    <t>a aula remota não é a mesma coisa</t>
  </si>
  <si>
    <t>O ensino remoto possui diferenças do ensino presencional</t>
  </si>
  <si>
    <t>a gente precisa se adaptar ao ambiente e tentar, a cada vinte a trinta minutos, interagir com o aluno, para que ele faça algo para manter a atenção dele</t>
  </si>
  <si>
    <t>Buscar iteragir com o aluno, mantendo a atenção dele</t>
  </si>
  <si>
    <t>Sempre propor os desafios</t>
  </si>
  <si>
    <t>Propor desafios aos alunos</t>
  </si>
  <si>
    <t xml:space="preserve">deixar bem claro, pedagogicamente, que eu acho que envolve você uma boa configuração de som pro que o aluno te ouça bem, sempre com a câmera aberta, mesmo que o aluno não abre, porque ele não pode, mas que ele te veja, que ele sinta essa aproximação dentro do possível. </t>
  </si>
  <si>
    <t>Propriciar um ambiente favorável ao aluno que se cinta confortável</t>
  </si>
  <si>
    <t>dentro da ementa, tentar evitar deixar o aluno dependente daquela stack que você está ensinando. Então, se você vai explicar Jenkins, tire meia hora pra explicar o pipeline em outra ferramenta, pra ele ver que aquilo é possível. Pra que ele não saia com a receita pronta. Por mais que a gente não entregue, o aluno cria na cabeça dele uma receita e ela não vai se encaixar em todos os no dia a dia dele. Daí vai gerar frustração. Então, deixe claro, olha, tá vendo isso que a gente tá fazendo? Estamos fazendo por esse motivo, no Jenkins. Hoje a gente vai usar o Bitbucket, por exemplo, que é dessa maneira que a gente faz. Uma, como exemplo, né?</t>
  </si>
  <si>
    <t>Durante o ensino, buscar que o aluno não se limite as ferramentas ensinada por meio da apresentação também de exemplos de outras ferramenas</t>
  </si>
  <si>
    <t xml:space="preserve">Em ambas as turmas que eu dei [...] houve um desafio de [...] heterogeneidade da turma. você tem gente que é muito proficiente em desenvolvimento e não tem nem ideia da parte de servidor, linux e de configuração de ambiente, de ferramentas, [...] do outro espectro. Pessoas que vieram do operacional, System admin mesmo não tem tanta proficiência na parte de programação, de código. </t>
  </si>
  <si>
    <t>Dificuldade no ensino de devops para turmas heterogêneas compostas por alunos da parte desenvolvimento e da parte de operação.</t>
  </si>
  <si>
    <t>Pessoas que vieram do operacional, System admin [...] já vai ter mais dificuldade pra poder entender o sistema, fazer o  build, saber o que é um teste, principalmente teste unitário, como é que funciona</t>
  </si>
  <si>
    <t>alunos da parte de operação tem dificuldade em atividades relacionadas a parte de desenvolvimento</t>
  </si>
  <si>
    <t xml:space="preserve">se você vai dar uma aula de build de software, por exemplo, ou de teste unitário você precisa assumir que a sua turma, você precisa assumir que a sua turma tá num certo local, vamos dizer assim. Você precisa assumir que a sua turma é composta por desenvolvedores, tem um pouquinho de conhecimento e tal, ou você precisa partir do princípio que a sua turma não tem tanta experiência assim. </t>
  </si>
  <si>
    <t>ao se ensinar assuntos devops, precisa-se assumir um conhecimento mínimo na parte de operação e edesenvolvimento ou nenhum</t>
  </si>
  <si>
    <t xml:space="preserve">é uma disciplina que não existe definição, assim, não existe livro texto base, não exite algo totalmente acordado entre a comunidade do que é, quando é aplicado e tal. </t>
  </si>
  <si>
    <t>Não existe texto base totalmente acordado pela comunidade</t>
  </si>
  <si>
    <t>se você [...] vier com a mentalidade de tipo, eu vou encontrar aqui um livro texto base e vou usar, que basicamente, é um modelo que muitos professores adotam, para muitas disciplinas, Mas você não consegue fazer isso dentro de um curso de DevOps. Você não vai conseguir achar esse material</t>
  </si>
  <si>
    <t>Não existe texto base cujo modelo de organização seguido consiga ser criado um curso baseado</t>
  </si>
  <si>
    <t xml:space="preserve">e depois que você lê bastante sobre DevOps e usa na prática, você tem as suas próprias convicções e suas próprias experiências. Então, é bem capaz de livros, textos que você achar, você nem concordar com eles. </t>
  </si>
  <si>
    <t>Depois de experimentar devops, talvez surja discordância sobre o que é apresentado na literatura virgente</t>
  </si>
  <si>
    <t xml:space="preserve"> a preparação do curso é bem difícil desse ponto de vista, porque você tem que [...] pegar materiais de diversas fontes diferentes</t>
  </si>
  <si>
    <t>a preparação do curso precisa ser feita baseando numa composição de diversas fontes diferentes</t>
  </si>
  <si>
    <t xml:space="preserve">a preparação do curso é bem difícil [...] não vai ter tanto paper assim, artigo, porque é muito novo. 
 </t>
  </si>
  <si>
    <t>não há tantos artigos científicos em que possa se basear a preparação de cursos</t>
  </si>
  <si>
    <t xml:space="preserve">a preparação do curso [...] você vai ter que recorrer à literatura cinza, né, que é essa literatura de blog, do médium, o blogue do Nubank ou do Netflix, que são artigos sensacionais, mas que não tem aquele rigor científico, de revisão de pares e tal. 
 </t>
  </si>
  <si>
    <t>Precisa-se recorrer a literatura cinza composta por blog durante a preparação de um curso</t>
  </si>
  <si>
    <t>Essa parte do sistema, que eu peço pra eles fazerem para acompanhar a disciplina, [...] Eu tô pensando seriamente na ideia de simplesmente de dar um sistema pra eles</t>
  </si>
  <si>
    <t xml:space="preserve">É disponibilizado o sistemas para os alunos que será utilizado durante a disciplina </t>
  </si>
  <si>
    <t>Essa parte do sistema, que eu peço pra eles fazerem para acompanhar a disciplina [...] Quando você vai configurar as ferramentas e tal, como você foi quem desenvolveu o sistema, fica mais fácil, acredito eu de você entender todas as automações e tal, mas ao mesmo tempo eu vejo que a galera tem muita dificuldade em fazer.</t>
  </si>
  <si>
    <t>Os alunos construirem os próprios sistemas utilizados durante a disciplina, facilitam maior entendimento sobre as automação que serão realizadas</t>
  </si>
  <si>
    <t xml:space="preserve">Quando você vai configurar as ferramentas e tal, como você foi quem desenvolveu o sistema, fica mais fácil, acredito eu de você entender todas as automações e tal, mas ao mesmo tempo eu vejo que a galera tem muita dificuldade em fazer. </t>
  </si>
  <si>
    <t>há dificuldade por parte dos alunos em realização automação dos sistemas construídos por eles que são utilizados durante a disciplina</t>
  </si>
  <si>
    <t>essa parte do sistema, que eu peço pra eles fazerem para acompanhar a disciplina, [...] tá, eu vou dar um sistema, vai ser um sistema open source? Eu também eh, sabe? Já que eu posso dar um sistema, vamos usar um sistema de verdade, que não seja algo de brincadeira. Então, tipo, eu penso num grande sistema open souce aí, que tenha teste, tenha uma porrada de coisa, tenha integração contínua e tenha não sei o que, e que você consiga selecionar a bateria de teste que vai ser usado em cada canto, sabe?</t>
  </si>
  <si>
    <t>Dificuldade em decidir o nível das especificações dos sistemas entregue aos alunos que será utilizado durante a disciplina</t>
  </si>
  <si>
    <t>se eu fizer esse sistema, eu posso passar pro pessoal de forma bem mais simples, né? Como é que fazem as coisas e tal</t>
  </si>
  <si>
    <t xml:space="preserve">Se o professor entrega um sistema para os alunos utlizarem durante o curso que foi feito por ele, estará mais seguro em dar suporte </t>
  </si>
  <si>
    <t xml:space="preserve">se eu fizer esse sistema [...] a gente sabe também que tem os desafios, né? Poxa, isso não é tão simples assim, será que eu vou ter tempo pra fazer, né?
</t>
  </si>
  <si>
    <t>A construção do sistema que seria utilizado durante o curso, exige tempo e esforço dos professores</t>
  </si>
  <si>
    <t xml:space="preserve">se eu fizer esse sistema [...]  Nós, professores, às vezes, não somos os programadores mais proficientes que existem, então talvez o que a gente escreva, não seja de acordo com o que tá rolando no mercado hoje. </t>
  </si>
  <si>
    <t>O sistema construído pelos professores para ser utilizado pelos alunos durante o curso pode não seguir convenções e boas práticas virgentes no mercado</t>
  </si>
  <si>
    <t xml:space="preserve">Quando a gente foi desenvolver o nosso sisteminha e tal pra gente utilizar nessa parte de configuração de ambiente, como é uma galera que vem do mercado, eles diziam: professor, eu posso fazer na linguagem tal, eu posso na plataforma tal, eu posso fazer assim? Eu posso fazer achado? E eu realmente não gosto de dizer, não, não pode, só pode fazer se for assim, né? Então, acabou que muita gente fez em, não houve, sei lá, a turma não era tão grande. Então, não vou dizer que houveram, sei lá, seis, sete, diferentes ambientes, né? Que teve mas vamos botar aí uns dois ou três, né, diferentes. Então, aí pra gente, professor, muitas vezes a gente não tem proficiência em todos esses, né? Então, aí a pessoa vai ter que tirar uma dúvida, aí você fala: pô, eu não sei. Assim, você decidiu fazer isso aí, meio que dá seus pulo, assim, sabe? </t>
  </si>
  <si>
    <t>Não restringir os alunos a um conjunto de ferramentas diminui a capacidade de suporte que o professor pode dar</t>
  </si>
  <si>
    <t>eles diziam: professor, eu posso fazer na linguagem tal, eu posso na plataforma tal, eu posso fazer assim? [...] Então, não vou dizer que houveram, sei lá, seis, sete, diferentes ambientes, né? Que teve mas vamos botar aí uns dois ou três, né, diferentes. Então, aí pra gente, professor, muitas vezes a gente não tem proficiência em todos esses, né? Então, aí a pessoa vai ter que tirar uma dúvida, aí você fala: pô, eu não sei. Assim, você decidiu fazer isso aí, meio que dá seus pulo, assim, sabe? O máximo que a gente pode fazer é tentar passar os conceitos, né? E quando a pessoa tá com uma dúvida muito grande assim, você fala, rapaz, tenta me explicar aí como é que é essa tecnologia aí que tu tá usando, pra ver se eu consigo, pelo menos, fazer aqui uma tradução das coisas que eu já sei, pra isso aí</t>
  </si>
  <si>
    <t>Quando alunos sentirem dificuldade em tecnologias não conhecidas pelos professores, pode-se tentar traduzir a atividade para tecnologias conhecidas e explicar de forma geral o problema que está ocorrendo</t>
  </si>
  <si>
    <t xml:space="preserve">Na parte dos conceitos, todo mundo concorda. Então, isso é uma coisa que acaba facilitando. Então, tipo, os conceitos, o por conceito, eu tô pensando muito na parte de cultura DevOps, tá? Parte de cultura, a parte de comunicação, evitar os silos de desenvolvimento, feedback o mais rápido possível, né? Coisas assim, todo mundo concorda, todo livro concorda, fala de forma diferente, mas é tudo é tudo a mesma coisa. Então, como todo mundo concorda, fica fácil, né? E como são conceitos e são coisas muito óbvias, assim, né? São coisas muito intuitivas. </t>
  </si>
  <si>
    <t>A parte conceitual de devops relacionada a cultural é de fácil aceitação e entendimento pelos alunos</t>
  </si>
  <si>
    <t>Recomendações para isso é como eu disse, pega um livro texto, minimamente, ok, bem citado e recomendado aí nas Amazon da Vida, leia os dois, três primeiros capítulos, que é de cultura e pronto, assim, você vai ter um ótimo material e isso vai se repetir em quase todos os materiais que você achar.</t>
  </si>
  <si>
    <t>A parte cultural de devops é bem coberta pelos livro presentes na literatura</t>
  </si>
  <si>
    <t xml:space="preserve">Heterogeneidade de material, é o maior desafio [...] você ter que montar uma aula costurando as fontes. Então, às vezes, eu, por exemplo, na minha disciplina de integração eu tenho que dar vários conceitos, né? Pra você falar de integração contínua, você precisa falar de controle de versão, você precisa falar de build, você precisa falar de teste, são várias coisas que fazem parte da integração contínua, né? Então, o gitflow não tá no livro, sabe? Branch, modelos de desenvolvimento, isso não tá no livro. </t>
  </si>
  <si>
    <t xml:space="preserve">Não existe literatura que unifique os conhecimento devops, sendo necessário fazer uso de vários livros </t>
  </si>
  <si>
    <t xml:space="preserve">você precisa falar de controle de versão, você precisa falar de build, você precisa falar de teste, são várias coisas que fazem parte da integração contínua, né? Então, o gitflow não tá no livro, sabe? Branch, modelos de desenvolvimento, isso não tá no livro. Aí você já começa a ir pros blogs e tal, sabe? Aí, você vai falar de teste de software, teste de software, se você foi um livro de engenharia de software, essa parte de teste é extremamente fraca, assim, é extremamente conceitual, não tem nada. Aí, você já pode pegar os artigos. </t>
  </si>
  <si>
    <t>A parte de controle de versão, build, integração contínua, gitflow e teste de software são necessários serem ensinados</t>
  </si>
  <si>
    <t>uma coisa que eu não faço, né? Que eu tô percebendo que eu vou precisar fazer, mas é exatamente eh documentar, né? Essas fontes, caso você precise revisitar, eh, eh, porque é muito fácil, né? Você abre blogue e tal, você fecha a aba e meio que morreu assim. Então, de alguma forma você, você está sempre documentando, onde você pegou, da onde você puxou, guardar esses links, pra caso você tenha que, caso você precise revisitar aí em próximas, próximas versões do curso, sei lá.</t>
  </si>
  <si>
    <t>Documentar as fontes utilizadas durante o curso, para facilitação revisitação</t>
  </si>
  <si>
    <t xml:space="preserve">uma dificuldade das tecnologias, é reconhecer o que é relevante ser abordado em sala de aula, não é? Então, por exemplo, tem muita tecnologia no mercado. </t>
  </si>
  <si>
    <t>Dificuldade em selecionar as ferramentas necessárias para serem ensinadas devido a grande quantidade</t>
  </si>
  <si>
    <t>pra essa parte de integração contínua, [...] Quando você fala de integração contínua, tem várias ferramentas que você pode usar. Então, você pode usar o Jenkins, você pode usar o Travis, você pode usar o Circle CI, agora surgiu o Github Actions, sabe?</t>
  </si>
  <si>
    <t>Para integração contínua pode-se utilizar ferramentas como Jenkins, Travis CI, Circle CI e Github Actions</t>
  </si>
  <si>
    <t>tem muita tecnologia no mercado [...] você não pode abordar tudo, né? Mas, ao mesmo tempo, só dar o conceito, eu não acho suficiente. Então, você tem que fazer uma escolha. Eu vou ensinar isso aqui.</t>
  </si>
  <si>
    <t>Não deve-se limitar a parte conceitual de devops, explorando o uso de ferramentas também</t>
  </si>
  <si>
    <t xml:space="preserve">Jenkins [...] está sendo substituído em diversas organizações, mas ele ainda é muito utilizado. </t>
  </si>
  <si>
    <t>Embora o jenkins ainda seja muito utilizado, está sendo substituído em muitas empresas por outras ferramentas</t>
  </si>
  <si>
    <t>o Jenkins vamos dizer assim, ele, apesar dele ser desafiador, porque ele não é a coisa mais fácil do mundo de configurar.</t>
  </si>
  <si>
    <t>A ferramenta jenkins não é muito fácil de configurar</t>
  </si>
  <si>
    <t>Essas dores, eu também acho importante para a galera quando pega algo um CI que funciona na nuvem e tal, perceber, poxa, olha só que que facilidade</t>
  </si>
  <si>
    <t>Fazer o aluno experimentar as dificuldades enfrentadas em algumas ferramentas podem tornar a transição para ferramentas de nuvem mais fácil</t>
  </si>
  <si>
    <t xml:space="preserve">se você for fazer esse CI na nuvem, de forma comercial, você vai ter que pagar, não é de graça. De graça só aqui pra gente ficar brincando, certo? Mas se você quiser colocar o sistema da sua empresa pra fazer não sei quantas integrações por semana, você vai ter que pagar por isso. </t>
  </si>
  <si>
    <t>O uso de serviços de nuvem de forma mais profissional, em nível comercial exige pagamento</t>
  </si>
  <si>
    <t>a recomendação seria essa, seria pegar ferramentas que estão minimamente relevantes, né? E de forma que você consiga apresentar os diferentes custo-benefícios de cada uma.</t>
  </si>
  <si>
    <t>Apresentar aos alunos os custo e os benefícios de várias ferramentas relevantes</t>
  </si>
  <si>
    <t>o Jenkins você não paga nada, você instala no seu servidor e já era</t>
  </si>
  <si>
    <t>O uso do jenkins não exige pagamento atrelado</t>
  </si>
  <si>
    <t>quando eu dei a o curso de DevOps no mestrado, foi DevOps do começo ao fim, né? Então, eu tive que decidir tudo que ia entrar no conteúdo, tem muita coisa que ficou de fora</t>
  </si>
  <si>
    <t>Devido a carga horária limitada, parte de devops não puderam ser apresentadas ao alunos</t>
  </si>
  <si>
    <t>DevOps [...] No curso de especialização [...] você consegue quebrar, todos esses conteúdos em disciplinas maiores</t>
  </si>
  <si>
    <t>É possível quebra o ensino de devops em várias disciplinas em curso de especiliazação em devops</t>
  </si>
  <si>
    <t xml:space="preserve">o maior desafio é esse, tipo, o que que entra, sabe? Tem muita coisa que a galera faz dentro do Pipeline de DevOps hoje em dia, que não necessariamente entra num curso de DevOps, né? </t>
  </si>
  <si>
    <t>Não há completa convenção sobre a composição das atividades de devops</t>
  </si>
  <si>
    <t>assim, tem algumas coisas que não podem deixar de ter, né? todas, se você ver lá a figurinha bonitinha do ciclo DevOps, né? Toda aquela parte de compilar, testar, fazer, monitorar e avaliar, eu acho que tudo isso precisa ser cobrado de alguma forma, precisa entrar de alguma forma</t>
  </si>
  <si>
    <t>Deve-se ter prioridade no ensino das atividades de compilação, testagem, monitoramento e avalição em devops</t>
  </si>
  <si>
    <t>tem muita gente que já tá fazendo análise estática, qualidade de software, esse Sonarqube vida, né? Coisas nesse sentido. Faz sentido incluir isso no seu curso? Eu não sei, sabe? Isso aí é uma coisa mais qualidade de software</t>
  </si>
  <si>
    <t>análise estática por meio da ferramenta sonarqube está mais relacionada a parte de qualidade de software que de devops</t>
  </si>
  <si>
    <t xml:space="preserve">Eu diria que a maior dificuldade é a centralização do conteúdo mesmo, sabe? Porque você pega tanta coisa diferente que eu fico meio com pena, entre aspas, de passar tudo pros alunos. Porque tem muito e se você passar tudo o aluno pode ficar um pouco perdido, assim, do que que ele tem que ler e às vezes é muita coisa. </t>
  </si>
  <si>
    <t>Devops agrega muitos assunto que torna difícil o professor passar essa quantidade de assunto para os alunos</t>
  </si>
  <si>
    <t>E às vezes você pegou um pouquinho de uma coisa tal, né? Nem todo aquele texto era relevante, sabe? Então, acaba que o seu material acaba virando a única fonte, vamos dizer assim. Para os alunos, eu já percebi isso, assim, sabe? O pessoal estudava e tal, ia muito pelo material que eu preparava. Quando o material que eu preparava era, vamos dizer assim, era um conjunto de slides, né? Que não serve tanto, assim, do ponto de vista, né, de você ter uma leitura um pouco mais aprofundada e tal. Então, eu acho que uma dificuldade, do ponto de vista, assim, tipo pedagógico da montagem das aulas e tal</t>
  </si>
  <si>
    <t>Os alunos se baseam fortemente no material de slides do professor, que muitas vezes é limitado</t>
  </si>
  <si>
    <t xml:space="preserve">o principal desafio mesmo é esse [...] De dar essa visão de que Devops não é só ferramenta, acho que Devops tem mais a ver com pessoas, né? E a interação ali entre elas </t>
  </si>
  <si>
    <t>Dificuldade em fazer o aluno perceber que devops não se limita no conhecimento de ferramentas, que também a outras partes como relacionamento entre pessoas</t>
  </si>
  <si>
    <t xml:space="preserve">durante a criação [...] Já é tudo preparado e as turmas são sempre iguais [...] é a mesma apostila, o mesmo conteúdo, mesma didática de ensino, tão não tem uma preparação para cada aula, sabe? Foi só uma preparação inicial. </t>
  </si>
  <si>
    <t>Uniformizar o material didático para todas as turmas de alunos</t>
  </si>
  <si>
    <t>durante a criação [...]  uma grande questão era, como organizar o conteúdo porque essa área de devops é gigante</t>
  </si>
  <si>
    <t xml:space="preserve">Dificuldade na seleção dos assuntos abordado durante o curso devido a grande quantidade assuntos englobados por devops  </t>
  </si>
  <si>
    <t xml:space="preserve">o treinamento é limitado [...] Foca em ferramentas, mas em quais ferramentas. </t>
  </si>
  <si>
    <t>Pelo fato do curso ser limitado, deve-se prestar atenção a quais ferramentas serão adotadas</t>
  </si>
  <si>
    <t xml:space="preserve">um grande desafio [...] pensar em quais temas são essenciais, quais ferramentas ensinar, dentro de cada tema, né? </t>
  </si>
  <si>
    <t>Para cada tema, deve-se prestar atenção a quais ferramentas serão ensinadas</t>
  </si>
  <si>
    <t xml:space="preserve">Qual ferramenta escolher, que aí tinha que ver, o que que era mais padrão de mercado, o que que era mais simples, o que que fica mais fácil até pra ensinar também e também como encaixar, né? </t>
  </si>
  <si>
    <t xml:space="preserve">Utilizar as tendências de ferramentas mais simples escolhidas pelo mercado como método de seleção das ferramentas que serão adotadas durante o curso </t>
  </si>
  <si>
    <t>Essa parte de, de cultura e tal, que é uma parte, vamos dizer assim, mais chata, [...] Que as pessoas vão lá querendo ver ferramentas [...] Então,  como balancear, né? Falar um pouco coisas não técnicas com coisas técnicas.</t>
  </si>
  <si>
    <t>Dificuldade em como balancear entre o ensino da parte conceito e da parte prática.</t>
  </si>
  <si>
    <t xml:space="preserve">começar [...] Mostrando o histórico, né? A essência do Devops, por que ele foi criado, né? Qual foi o problema que ele veio a resolver e qual foi a origem desse problema? Por que existe esse problema? Por que que é separado desse jeito, né? </t>
  </si>
  <si>
    <t>Começar o ensino de devops a partir da motivação histórica e do problemas em que o devops propoẽm-se em resolver</t>
  </si>
  <si>
    <t xml:space="preserve">precisava ter algum projeto [...] Prático [...] Pra não ficar só na parte de teoria. </t>
  </si>
  <si>
    <t>o ensino necessita de projeto prático, não apenas teórico</t>
  </si>
  <si>
    <t xml:space="preserve">precisava ter algum projeto [...] Aí a gente teve que escolher, tá? Esse projeto vai ser um software, vai ser em qual linguagem, né? [...] qual biblioteca, qual framework, qual o servidor? </t>
  </si>
  <si>
    <t>Deve-se preocupar-se com as especificações do projeto utilizado durante o curso como qual linguagem será utilizada, qual framework</t>
  </si>
  <si>
    <t>precisava ter algum projeto [...] Então, a gente acabou escolhendo o Java</t>
  </si>
  <si>
    <t>Java é uma linguagem possível a ser adotada nos projeto usados durante o curso</t>
  </si>
  <si>
    <t>na hora que for ensinar conceitos de devops, tipo, integração contínua, vai ter uma ferramenta,</t>
  </si>
  <si>
    <t>Fazer uso de ferramentas durante a explicação de conceitos devops como integração contínua para o aluno ter uma experiência prática</t>
  </si>
  <si>
    <t>na hora que for ensinar conceitos de devops [...] então, a recomendação mesmo é olhar pro mercado, pesquisar, ver, em Twitter, grupos de discussão, ver o que tá em alta no Google Trends. Para saber escolher uma ferramenta que seja mais popular</t>
  </si>
  <si>
    <t>Fazer uso de pesquisas de mercado, twitter, grupos de discurssão e relacionado para descobrir quais ferramentas são mais populares no mercado que serão adotado no curso</t>
  </si>
  <si>
    <t xml:space="preserve">a gente não faz avaliação, [...] mas ao longo do treinamento, a gente vai observando, né, os alunos e tal. </t>
  </si>
  <si>
    <t>Ao invés de realizar avaliação eliminatória, monitorar o avanço dos alunos</t>
  </si>
  <si>
    <t>a parte da avaliação [...] a recomendação seria para, já, meio que trazer isso pro, digamos assim, pro mundo real não seria interessante ter uma avaliação individual</t>
  </si>
  <si>
    <t>Não utilizar de avaliação individual, trazendo para uma situação mais perto do mercado</t>
  </si>
  <si>
    <t>a parte da avaliação [...] a recomendação seria tentar bolar [...]algum projeto ou algum desafio no projeto em si que envolva a colaboração entre as pessoas, que sei lá, consiga dividir a turma ali, os alunos em grupos e cada um vai atacar um problema e depois tudo tem que se unir junto, né? Então, observar [...] eles</t>
  </si>
  <si>
    <t xml:space="preserve">Avaliar os alunos através de projeto em grupos, mais especificamente a colaboração de cada um </t>
  </si>
  <si>
    <t>a parte da avaliação [...] a recomendação seria [....] De ter um desafio, um exercício, um projeto</t>
  </si>
  <si>
    <t>Avaliar por meio de projetos, exercícios e desafios relacionados</t>
  </si>
  <si>
    <t>Tem conceitos ali de colaboração, de comunicação, de organização que são um pouco subjetivos, né? Então, é um pouco mais difícil de você avaliar</t>
  </si>
  <si>
    <t>Dificuldade de avaliação sobre os aspectos de colaboração, comunicação e organização devido grau alto de subjetividade</t>
  </si>
  <si>
    <t xml:space="preserve">Outro desafio também, que [...] a gente mudou o nosso modelo que era presencial pra online, ao vivo. E aí, a gente tinha esse problema, né, que no curso tem um projeto, com determinadas tecnologias, só que, no nosso caso, a gente já tem um laboratório que já tá tudo instalado e configurado. Então, no caso, poxa, agora, é o aluno que vai fazer da casa dele, né, como é que ele vai configurar a infra com aquele projeto específico e sem ter dor de cabeça, isso não atrapalhar na aula. </t>
  </si>
  <si>
    <t xml:space="preserve">Dificuldade de selecionar conjunto de tecnologias que os alunos possam configurar em suas próprias máquina sem grandes dificuldades </t>
  </si>
  <si>
    <t xml:space="preserve">Você tem os desafios inerentes ao processo de educação em computação, então você estruturar toda uma narrativa, adequada [...] desafios que não dizem respeito, necessariamente, ao objeto de estudo, ou seja, DevOps, mas sim da dinâmica de trabalho, então coisas pedagógicas mesmo, de você trabalhar tanto as questões teóricas, quanto prática. </t>
  </si>
  <si>
    <t>O ensino de devops tem desafios inerentes ao processo de educação como por exemplo sobre como abordar pedagogicamente o assunto</t>
  </si>
  <si>
    <t>Não dá pra você ensinar DevOps só na teoria, você tem que vivenciar, você tem que ter experimentações práticas para isso.</t>
  </si>
  <si>
    <t>O ensino devops necessita de prática, não apenas parte teórica</t>
  </si>
  <si>
    <t xml:space="preserve">o primeiro grande desafio foi conseguir conceber um ciclo dessa jornada de ensino e aprendizagem baseado em missões, em atividades práticas e que essas atividades práticas tivessem toda uma construção de dificuldade incremental. </t>
  </si>
  <si>
    <t>A criação de uma jornada de ensino baseada em missões e atividades prática com dificuldade incremental foi desafiador</t>
  </si>
  <si>
    <t xml:space="preserve">trabalhar tanto os aspectos teóricos necessários para entendimento do porquê das coisas em DevOps são em SRE como um todo [...] você tem que ter isso. </t>
  </si>
  <si>
    <t xml:space="preserve">Realizar apresentação de devops bem como de sre para os alunos </t>
  </si>
  <si>
    <t xml:space="preserve">A vantagem pra mim, é que com essa minha disciplina eletiva e ela é na pós-graduação, eu não tenho obrigatoriedade de prova, eu tenho uma liberdade um pouco maior, </t>
  </si>
  <si>
    <t>O ensino em disciplina de pós-graduação pode ter a liberdade da não obrigatoriedade de realização de prova escrita</t>
  </si>
  <si>
    <t xml:space="preserve">e eu acho que prova não ia ser um negócio legal, se não ia ser mais ou menos certificação da, da AWS, por exemplo, do Azure, Google, e não é este propósito. </t>
  </si>
  <si>
    <t>O uso de prova escrita não ideal no ensino de devops, faz parecer uma prova de certificação</t>
  </si>
  <si>
    <t>Então, eu procuro, sempre, nessas minhas atividades, colocar um um Delta de tomada de decisão que compete ao time, né? Aos alunos e que obviamente vai avaliar o entendimento deles perante todas as discussões do semestre. Então, todas as decisões são válidas, obviamente, né?</t>
  </si>
  <si>
    <t>Avaliar o alunos também pelo aspecto de tomada de decisão durante as atividades</t>
  </si>
  <si>
    <t xml:space="preserve">Assim, DevOps e SRE são conceitos que nasceram muito mais fortemente na prática do que no estado da arte, ou seja, muito mais na indústria do que necessariamente na universidade. Então você tratar desses conceitos sem fazer uma real explanação, ou trazer os principais players de como eles fizeram e por que eles fizeram, é fundamental. </t>
  </si>
  <si>
    <t>Trazer a relação entre devops e sre para os alunos</t>
  </si>
  <si>
    <t>se você quiser conduzir disciplinas e DevOps num formato de discutir que a universidade é detentora exclusiva e máxima da informação, você está errado. Então, boa parte das referências, dos casos mais interessantes que eu considerei pra levar pra sala são posts na INFO2, no Metzone, Hacker News, posts do Twitter, estudo de caso do Airbnb, Glitch, Orbitz e tal;</t>
  </si>
  <si>
    <t>Pode-se optar para embasamento do curso pelo uso de literatura cinza composta por sites como hacker news onde há casos interessantes</t>
  </si>
  <si>
    <t xml:space="preserve">Então, boa parte das referências, dos casos mais interessantes que eu considerei pra levar pra sala são posts na INFO2, no Metzone, Hacker News, posts do Twitter, estudo de caso do Airbnb, Glitch, Orbitz e tal; [...] casos desses que são muito mais interessantes do que necessariamente, livros ou artigos “acadêmicos científicos”, né? </t>
  </si>
  <si>
    <t>A literatura cinza de devops possui casos mais interessante que os encontrados em artigos cientificos</t>
  </si>
  <si>
    <t xml:space="preserve"> é trazer o conceito aplicado, aí use uma abordagem tipo CDL, ou PBL, tal, ajuda bastante nisso, porque aí você tem como apresentar o problema e depois mostrar qual o conceito por trás da resolução daquele problema.</t>
  </si>
  <si>
    <t xml:space="preserve">Fazer uso de metodologia de ensino como comprehensive distance learning (cdl) e problem-based learning (pbl)
 </t>
  </si>
  <si>
    <t>você propor as dinâmicas, ter essas coisas pra mexer com a turma, porque senão fica tão muito chato.</t>
  </si>
  <si>
    <t>Planejar formas de incitar a turma por meio de dinâmicas</t>
  </si>
  <si>
    <t xml:space="preserve">A recomendação é ver o que o mercado tá utilizando, né? E tentar ir pelo que é mais utilizado, tipo, não adiantava eu mexer com CRIO se todo mundo usa Docker. </t>
  </si>
  <si>
    <t>Adotar no cuso as ferramentas utilizadas no mercado como o Docker</t>
  </si>
  <si>
    <t xml:space="preserve">eu explicava teoricamente a ideia do Mezio, do Marathon, por exemplo, tom dos primórdios, né? Dessa parte de de contêiner, de orquestração, etc, pra mostrar a arquitetura mais teoricamente, não chega a botar na prática o Mesos e o Marathon pra rodar que são poucas organizações que tem ainda isso aí, quem começa já parte logo pra um Kubernetes da vida. Salvo raríssimas exceções, a galera usava um Swarm, </t>
  </si>
  <si>
    <t>Explicar inicial em uma ferramenta e realizar a prática desse assunto em outra ferramenta para que os alunos não se prendam a ferramentas ensinadas no curso</t>
  </si>
  <si>
    <t>eu procuro trazer isso: Mesos, Marathon, depois o Swarm, até para exercitar os conceitos é mais fácil, mais leve do que o Kubernetes, e aí depois de Kubernetes, Rancher, por exemplo</t>
  </si>
  <si>
    <t>Adotar ferramentas como mesos, docker swarm e kubernetes durante o curso</t>
  </si>
  <si>
    <t>as ferramentas [...] tá alinhado ao que tá acontecendo na comunidade como um todo, né? Estar buscando sempre trazer, porque essa área, especificamente, ela corre muito rápido. Então, todo semestre que eu rodo, rodo essa disciplina uma vez por ano, tem atualizações muito fortes do que tá acontecendo.</t>
  </si>
  <si>
    <t>A cada semestre realizar verificação se as ferramentas usada no mercado mudou e ajustar as ferramentas usado no curso conforme isso</t>
  </si>
  <si>
    <t>Algumas configurações que você pode ter pra gente ajudar, tipo, ah, você tem a equipe de monitores, por exemplo, isso te permite seguir para uma linha prática mais legal, porque tu vai ter mais braço pra te ajudar, avaliar e tudo mais.</t>
  </si>
  <si>
    <t>Monitores na máteria auxiliam o professor em avaliações e em suporte aos alunos</t>
  </si>
  <si>
    <t>equipe de monitores [...] Se você não tem, ele fica mais pesado, fica mais difícil, você sozinho avaliar. Pega uma turma com quarenta alunos, mesmo que você divida em times, é muita coisa pra você avaliar.</t>
  </si>
  <si>
    <t>Turmas grande são dificeis de serem avaliadas pelos professores que não possuem o suporte de monitores</t>
  </si>
  <si>
    <t>um desafio prático para resolução de um problema, eu acho que os alunos acabam aprendendo mais. Eles têm que correr atrás de mais informação do que necessariamente foi dito em sala de aula</t>
  </si>
  <si>
    <t>Em desafios práticos os alunos tem que buscar complementação de informação extra conteúdo abordado em sala para realização, possibiltando maior aprendizado</t>
  </si>
  <si>
    <t xml:space="preserve">já tem a minha que tem a minha disciplina aí pronta, né? Então o desafio, pra quem vai começar alguma, é menor. </t>
  </si>
  <si>
    <t>Pode-se fazer uso dessa disciplina como referência para outras futuras</t>
  </si>
  <si>
    <t xml:space="preserve">tipos de desafios, eles são mais relacionados à natureza do assunto, não ao objeto, ou seja: qual tipo de conteúdo, como você vai conduzir esse curso, como você vai querer conduzir a disciplina? </t>
  </si>
  <si>
    <t>Dificuldade em decidir como conduzir curso e quais tipos de contéudo serão abordados</t>
  </si>
  <si>
    <t xml:space="preserve">Se você quiser conduzir uma disciplina corporalmente teórica, meu desafio é um, se você quiser uma disciplina meio híbrida, que você tem a teoria e prática aplicada, aí o desafio vai ser outro, aí cobre desde você ter ambiente para isso, você estruturar o ambiente, ou pensar em alguma coisa assim, até disponibilizar máquina virtual, </t>
  </si>
  <si>
    <t>Uma disciplina meio teórica necessita se preocupar na infraestrutura utilizada pelo aluno</t>
  </si>
  <si>
    <t xml:space="preserve">teve época que eu combinava um conjunto de serviços gratuitos para serem utilizados, Heroku, eu combinava uns serviços gratuitos para rodar essas coisas. Já tive uma parceria pra usar fechado. </t>
  </si>
  <si>
    <t>Pode-se optar pelo uso de serviços gratutos como o Heroku ou priivados por meio de parcerias entre academia e indústria</t>
  </si>
  <si>
    <t>tem o Red Hat Academy, né, que você pode usar o OpenShift, e tudo mais no contexto do esforço que você quiser dar. Então, esse tipo de coisa ajuda bastante.</t>
  </si>
  <si>
    <t>O red hat academy permite o uso da tecnologia openshift para os alunos</t>
  </si>
  <si>
    <t xml:space="preserve">Hoje, eu não uso, eu uso não só PBL, tem sala de aula invertida, né? </t>
  </si>
  <si>
    <t>pode-se utilizar a metodologia problem-based learning (pbl) juntamente com sala invertida</t>
  </si>
  <si>
    <t xml:space="preserve">a gente tem sempre um post-mortems para cada missão. </t>
  </si>
  <si>
    <t>Pode-se realizar a atividade de post-mortems depois de cada atividade proposta aos alunos</t>
  </si>
  <si>
    <t>Educator Experience</t>
  </si>
  <si>
    <t>DevOps is all about culture. [...] Culture is difficult to teach</t>
  </si>
  <si>
    <t>It is difficult to teach DevOps culture</t>
  </si>
  <si>
    <t>the only way to teach culture, the only way to experience culture is to immerse the students in the culture.</t>
  </si>
  <si>
    <t>it is necessary to immerse the students in DevOps culture for them to learn</t>
  </si>
  <si>
    <t>I break them up into nine teams of five students each</t>
  </si>
  <si>
    <t>organize the students into teams</t>
  </si>
  <si>
    <t xml:space="preserve">I break them up into nine [...] each build a microservice for an e-commerce backend. So somebody builds the order service and the recommendation service, and the shop cart service, right? And the checkout service, all these different services. 
</t>
  </si>
  <si>
    <t>working with different projects</t>
  </si>
  <si>
    <t xml:space="preserve"> I teach them about social coding. </t>
  </si>
  <si>
    <t>teach social coding</t>
  </si>
  <si>
    <t xml:space="preserve"> I teach them about the git feature branch workflow. </t>
  </si>
  <si>
    <t>teach git workflow</t>
  </si>
  <si>
    <t xml:space="preserve">I tell them, I am not going to grade you on what you submit. I'm going to grade you on how you got there because getting there is not the point. It's the journey, right? That's the point. </t>
  </si>
  <si>
    <t>Make clear that  will be grading them DevOps journey</t>
  </si>
  <si>
    <t>I teach my class in sprints. We do five, two weeks sprints in a 15-week course. I give them the requirements for each sprint, what I need them to build.</t>
  </si>
  <si>
    <t>course based on sprints</t>
  </si>
  <si>
    <t>I teach them how to do agile planning. And then they go build an agile plan.</t>
  </si>
  <si>
    <t>teach agile planning</t>
  </si>
  <si>
    <t xml:space="preserve">I teach them that every failure is a learning opportunity. If you fail and you learn something, you get credit. It's not a failure because you've learned something, we're here to learn. </t>
  </si>
  <si>
    <t>teach to students that every failure is learning opportunity</t>
  </si>
  <si>
    <t xml:space="preserve">We learned test driven development. </t>
  </si>
  <si>
    <t>teach test driven development</t>
  </si>
  <si>
    <t>I'll have them run their test cases manually. And then when someone makes a pull request, I'm like, well, you need to clone that, run the test case. [...] And then [.. ] I show them how to [...] automatically run the test cases.</t>
  </si>
  <si>
    <t>make students understand the importance of automation</t>
  </si>
  <si>
    <t>And then I teach them, CI continuous integration. I show them how to use Travis to automatically run the test cases.</t>
  </si>
  <si>
    <t>teach continuous integration using travis</t>
  </si>
  <si>
    <t>I teach them about code coverage.</t>
  </si>
  <si>
    <t>teach code coverage</t>
  </si>
  <si>
    <t>Then finally we push it to the cloud. We set up CD pipelines to deploy things in the cloud</t>
  </si>
  <si>
    <t>teach how to set up devops pipeline in the cloud</t>
  </si>
  <si>
    <t>so I try to force them into these situations that really drive home the message of how to work as a DevOps team, how to work agile, but you've got to live it.</t>
  </si>
  <si>
    <t>make students experiment situations where they can learn how to work as a DevOps team</t>
  </si>
  <si>
    <t xml:space="preserve">whenever they have a problem they can come to me. And I tell them, don't spend too much time Googling stuff. If you don't understand something, ask me if, if you don't understand what I presented, then I didn't present it in a way that you could connect with it. [...] Everybody learns differently. </t>
  </si>
  <si>
    <t>incentive professor-students interaction, making easily answer questions</t>
  </si>
  <si>
    <t xml:space="preserve">So I let them know that if you asked me the same question a second time, I promise I won't answer it the same way. I'll try to find some different way to make that connection with you. Right? So that you understand it, given the background that you have. Given the skills that you have. Uh, so again, I try to immerse them in this culture. </t>
  </si>
  <si>
    <t>teaching based on students background</t>
  </si>
  <si>
    <t xml:space="preserve">teach DevOps. You can't learn it from a book  you have to learn by doing </t>
  </si>
  <si>
    <t>It is necessary to practice DevOps knowledge</t>
  </si>
  <si>
    <t>my classes are about an hour lecture. And then the other hour and a half is lab it's hands-on, you know, I give them a concept, let's go do it. And by doing it, that's where it really sticks.</t>
  </si>
  <si>
    <t>separate half time to theoretical and other half time to practice</t>
  </si>
  <si>
    <t xml:space="preserve"> So sometimes a student will say to me: "professor, what do I do if another student is like not pulling their weight on the team?", And I say: "when you go to a job interview, you're going to be asked the question, tell me about a time when a member of your team wasn't pulling their weight. And what did you do to get them excited and to contribute again, today's the day to go write that story. Today's the data to write the answer to that question".</t>
  </si>
  <si>
    <t>make the motivation of group members to the student's responsibility</t>
  </si>
  <si>
    <t>if you can't work as a team, you're not gonna make it right out in industry because we want team players.</t>
  </si>
  <si>
    <t>make evident the importance of working in a group</t>
  </si>
  <si>
    <t xml:space="preserve"> working as an agile team and using the DevOps tools, but most importantly, living the DevOps culture</t>
  </si>
  <si>
    <t>practice tools without forgot DevOps culture</t>
  </si>
  <si>
    <t xml:space="preserve">the environment setup is key. What I would love to do is have an environment in the cloud. That's always consistent. That would kind of be the best. </t>
  </si>
  <si>
    <t xml:space="preserve">environment set up created in a cloud service is the better way
</t>
  </si>
  <si>
    <t xml:space="preserve">there are several environments in the cloud, but they all cost money. </t>
  </si>
  <si>
    <t xml:space="preserve">it necessary to pay to have an environment set up in a cloud service </t>
  </si>
  <si>
    <t xml:space="preserve">the environment setup is key. [...] I selected Vagrant and virtualbox because they're both free. [...]  What Vagrant allows me to do is give everyone the same environment. </t>
  </si>
  <si>
    <t>VirtualBox and vagrant can be uses to environment setup</t>
  </si>
  <si>
    <t>So we use a combination of Docker for the students with M one max and VirtualBox.</t>
  </si>
  <si>
    <t>Docker and VirtualBox can be used to environment setup</t>
  </si>
  <si>
    <t xml:space="preserve"> However, last semester eight of my students showed up with apple, M one Silicon Macs and they don't run VirtualBox because VirtualBox only runs on Intel. It's not an emulator. It is a virtualizing layer, right? It needs an Intel CPU in order to virtualize. Um, and so I had to change the class for them to use Docker and VirtualBox. </t>
  </si>
  <si>
    <t>VirtualBox has limitation in MacOS.</t>
  </si>
  <si>
    <t>all of those automatically installed the student never, ever, ever has to install anything. They call my repo, they say Vagrant up and they're up and running. And so that's how I solve that problem</t>
  </si>
  <si>
    <t>make environment setup easily cloneable</t>
  </si>
  <si>
    <t>we use selenium to, to work on the, uh, on the UI, as a browser</t>
  </si>
  <si>
    <t>uses Selenium to user interface test</t>
  </si>
  <si>
    <t xml:space="preserve">Students will ask me, can I use a different test suite? Can I use, you know, something different? And I'll say, well, you can, but then it's up to you to figure out how it integrates back into everything. </t>
  </si>
  <si>
    <t>students could use other tools non-taught without professor support</t>
  </si>
  <si>
    <t xml:space="preserve"> I also try to use a set of tools that are popular in the industry. </t>
  </si>
  <si>
    <t>uses popular industry tools</t>
  </si>
  <si>
    <t xml:space="preserve"> you have to change the tools almost every semester or every two years. You've got to look at what are the popular tools right now.</t>
  </si>
  <si>
    <t>Every semester is necessary to update tools used on course</t>
  </si>
  <si>
    <t xml:space="preserve">   People use an Argo CD to do continuous delivery. They used to be using Jenkins. So do you still teach Jenkins? Do you teach them Argo? Um, so it's a constant, um, improvement on the tools are what tools are popular, what tools are going to get them a job in the industry, right? </t>
  </si>
  <si>
    <t>Argo CD is a more current continuous delivery tool than Jenkins</t>
  </si>
  <si>
    <t xml:space="preserve">    is very critical to teach them tools that are relevant and tools that will help them get a job.</t>
  </si>
  <si>
    <t>teach tools that will help to get a job</t>
  </si>
  <si>
    <t xml:space="preserve">a big challenge is students learning to be, um, to be agile working as a team pair programming. </t>
  </si>
  <si>
    <t>is difficult to students learning agile working</t>
  </si>
  <si>
    <t>I'm going to watch your Kanban board every week</t>
  </si>
  <si>
    <t>teach Kaban board</t>
  </si>
  <si>
    <t xml:space="preserve"> lot of those concepts are hard to teach in a classroom setting</t>
  </si>
  <si>
    <t xml:space="preserve"> lot of concepts are hard to teach in a classroom setting</t>
  </si>
  <si>
    <t>you can't just grade what they submit. You have to watch how they're working.</t>
  </si>
  <si>
    <t>grade based  how the students implement their tasks</t>
  </si>
  <si>
    <t>I can't say, oh, this lab worked last semester. It's going to work this semester</t>
  </si>
  <si>
    <t xml:space="preserve">every semester is necessary update the labs </t>
  </si>
  <si>
    <t xml:space="preserve">I actually last semester I prepared something on Sunday. And when I got Wednesday, when we had the class and I went to the cloud, the cloud had changed. [...] we're pushing to the IBM cloud the other night and it said there's an, there's a new update available for the tool. Uh, you know, version two, it may have breaking changes. And I said, timeout, nobody press, yes, everybody press no, because that's not the version I used on the weekend </t>
  </si>
  <si>
    <t xml:space="preserve">
check if the the labs work well always before start the class</t>
  </si>
  <si>
    <t xml:space="preserve">because of the remote learning  [...] I've been teaching my classes on zoom.   </t>
  </si>
  <si>
    <t>uses Zoom in remote learning scenario</t>
  </si>
  <si>
    <t xml:space="preserve"> because of the remote learning [...] I've been teaching my classes on zoom. And so, uh, that makes it very hard to do hands-on because I can't see the students right. While I'm doing the hands-on. So I can't see the puzzled look on their face and say, okay, I just lost them.  </t>
  </si>
  <si>
    <t>learning feedback to a professor from student face reactions is lower</t>
  </si>
  <si>
    <t>So without having, uh, physically having a technical assistance in the class and I do have TA's on with my zoom and they do help students over slack, uh, to get things going,</t>
  </si>
  <si>
    <t>teacher assistance helps to managment students questions</t>
  </si>
  <si>
    <t>Then I give them two exams. So the team is 40% of their grade. The exams are 60%. [...] The exam is their turn to shine as an individual</t>
  </si>
  <si>
    <t>uses team collaboration level and an exam as an assessment</t>
  </si>
  <si>
    <t>I don't give quizzes or anything like that.</t>
  </si>
  <si>
    <t>do not use quiz</t>
  </si>
  <si>
    <t xml:space="preserve">the exams are open book, right? I, I, when I'm in the classroom, they're not open book, but for, for the remote learning, they have to be open book. I just can't enforce it. </t>
  </si>
  <si>
    <t>exams in remote class format are with the open book</t>
  </si>
  <si>
    <t xml:space="preserve">for the assessment, as I said, I give them a lot of leeway in the beginning. Um, they can make mistakes on their Kanban board and still get full credit if they know what the mistakes are that they made. However, in later sprints, if they make the same mistakes, then I start taking points off.  So I give them time to learn, uh, so that they feel that they can make a few mistakes, take a few risks, um, and not get penalized for it. 
</t>
  </si>
  <si>
    <t>allow students to try without fear of being penalized if they make mistakes</t>
  </si>
  <si>
    <t>the final exam, I keep, I keep the questions mostly conceptual, right. Because let's face it.</t>
  </si>
  <si>
    <t>more conceptual exam based on student practice</t>
  </si>
  <si>
    <t xml:space="preserve"> my biggest challenge is that my course should be two semesters because it's just too much stuff to fit in one semester. </t>
  </si>
  <si>
    <t>It's challenging to teach in only a semester</t>
  </si>
  <si>
    <t xml:space="preserve">   There's lots and lots of information, which is why I give them lots of support during the week on slack. Um, but there's lots of information to cover. And because it's so challenging, I don't get to cover a lot of once you deploy it, how do you monitor it? Uh, right. And, and, and how do you, how do you, you know, go through the logs? And I mean, we do a little bit of looking at the logs when we deploy it to figure out if it's working, but I don't do a lot of the ops side of DevOps.</t>
  </si>
  <si>
    <t>no time to teach operations side</t>
  </si>
  <si>
    <t>Many students, even master's students who are going through this kind of a program are probably, are we missing one or two frames of reference? A lot of students come through approaching this from the software engineering side of the house. They're learning how to build applications and that sort of thing. They have no real experience on operations and simply standing up infrastructure in the cloud is not operations, right? It's an aspect of operations. It's important piece of operations, but it's not everything you don't necessarily have people with the expertise in network design capacity plan, security, identity management</t>
  </si>
  <si>
    <t>students who came from the area of ​​software engineering lack experience in operational activities</t>
  </si>
  <si>
    <t>You have a clean compile, you've tested your code and it meets the functional requirements. And that's the end of the story. But as we know, you know, even from software development,[...] it doesn't end once the software is built and once it's passed testing, then it goes into this entire operational stage. We tend to ignore it. And I don't think we ignore it deliberately. We ignore it because it's hard</t>
  </si>
  <si>
    <t>Operation activities are hard to teach</t>
  </si>
  <si>
    <t>we had cloud computing, where can easily stand up virtual machines for people and things like that.</t>
  </si>
  <si>
    <t>cloud computing make easier operation teach</t>
  </si>
  <si>
    <t xml:space="preserve"> That simply wasn't a possibility and computer labs are not equipped for that sort of a thing because of necessity. Universities have to lock down their software and hardware to keep really bad things from happening.</t>
  </si>
  <si>
    <t>university labs have restrictions on installing tools</t>
  </si>
  <si>
    <t>that is a lot of the devops principles that come into play. Um, things like let's say, doing infrastructure as code or forms of configuration management or containerization</t>
  </si>
  <si>
    <t>many devops concepts need to be taught</t>
  </si>
  <si>
    <t xml:space="preserve">And in terms of operation, a lot of the stuff that we tend to do at university tends to be fairly small because there's just realistic time constraints for how much people can get done in a week or two, or even in a term or a semester. </t>
  </si>
  <si>
    <t>teaching limited by course duration</t>
  </si>
  <si>
    <t>People coming through the programs want to play with technology.</t>
  </si>
  <si>
    <t>students came to course focused in the tools</t>
  </si>
  <si>
    <t>People coming through the programs want to play with technology. That's half the reason we got into this field in the first place, and it's a really fun thing to be able to do, but it's not sufficient. And trying to change that mindset to emphasize more the idea of devops as a means of continuous improvement, as a means of organizational change. As a, to some extent I use this phrase guardedly, but to some extent, a philosophy around how the organization is going to go from concept to implementation, that's a much harder set of skills to pick up.</t>
  </si>
  <si>
    <t>make clear the importance of the DevOps mentality in addition to using the tools</t>
  </si>
  <si>
    <t xml:space="preserve">And so every so often I'll get folks who have taken one class and then they start using the wrong version of the tool for the second class, because they have an upgraded or something along those lines. </t>
  </si>
  <si>
    <t>tool versions evolving require updating the labs</t>
  </si>
  <si>
    <t xml:space="preserve">Again, what I'm starting to do is to just build out images, for example, that contain everything that I want them to have. Uh, and that way I can tell them to spin up a virtual machine. </t>
  </si>
  <si>
    <t>make environment setup easily cloneable using virtual machine images</t>
  </si>
  <si>
    <t xml:space="preserve">it is very dangerous to teach too many tools because it's simply conveys that it is a very technology centric approach. </t>
  </si>
  <si>
    <t>teach many tools could seem that DevOps focus on use tools</t>
  </si>
  <si>
    <t xml:space="preserve">I use GitHub and they have options for professors, you know, for academic use, where you can set up these GitHub classrooms. </t>
  </si>
  <si>
    <t>github have options for professors</t>
  </si>
  <si>
    <t>I will pick one, usually one, although I'll usually compare and contrast against a couple of others, something in the around of automated builds.</t>
  </si>
  <si>
    <t>compare and contrast the tools before to choice</t>
  </si>
  <si>
    <t>I try to use cloud providers, you know, kind of cloud SAS providers for that sort of thing, because I don't want people to spend a lot of time getting the stuff stood up.</t>
  </si>
  <si>
    <t>make students use a cloud provider</t>
  </si>
  <si>
    <t xml:space="preserve"> I used to have people stand up during Jenkins instances to do the work, but that just at the end of the day, that's a distraction. My goal is not to teach them how to administer Jenkins.</t>
  </si>
  <si>
    <t>do not focus on teaching knowledge specific of a tool</t>
  </si>
  <si>
    <t>I tend to focus on gradle, but I also will link that to say a comparison against Maven and ant to provide some context for how we got here, why we got here</t>
  </si>
  <si>
    <t>Try to show the evolution of the tools</t>
  </si>
  <si>
    <t>I simply want them to be able to set up some kind of a pipeline and understand how it works.</t>
  </si>
  <si>
    <t>teach pipeline from a concrete example</t>
  </si>
  <si>
    <t>I'm having conversations with the university about trying to take the devops course and essentially converting it to a three course sequence one for agile, one for kind of the dev part of devops and one for the ops part of devops</t>
  </si>
  <si>
    <t>separate the dev and ops part into different courses</t>
  </si>
  <si>
    <t>because in though in the ops part, and this is the stuff I typically don't have as much time for simply because I know most of the students are coming from the software development side of the house.</t>
  </si>
  <si>
    <t>in devops course with dev and ops together, ops part are not touched because dev parts take a lot of time</t>
  </si>
  <si>
    <t>I may break out a tool like flyway to demonstrate how even databases are not necessarily exempt from being able to apply devops principles, including, you know, database infrastructure is covered and, and that sort of thing.</t>
  </si>
  <si>
    <t>flyway is used to teach database infrastructure knowledges</t>
  </si>
  <si>
    <t>I will touch on, uh, database migrations.</t>
  </si>
  <si>
    <t>teach database migrations</t>
  </si>
  <si>
    <t>a lot of the folks who are attending the course are not at a level in the organization where they can actually affect culture [...] they are usually technologists and so they can very easily understand how they can affect things like technology decisions and the application of technology. But many of them are not, let's say at manager or director or senior director VP levels or things like that will, they can actually affect more senior levels of challenge there.</t>
  </si>
  <si>
    <t>students do not have sufficient company level in their jobs to insert DevOps culture</t>
  </si>
  <si>
    <t xml:space="preserve">And that level of what you're trying to do is to build a business case for why you want that at all. And now you're starting to get a little bit around of the computer science and into around of business and being able to tie those two things together in such a way that you can sell it to an organization that would have to spend resources, people, time, energy, money, building out that kind of a technical pipeline, right? 
</t>
  </si>
  <si>
    <t>teach students to know how to sell DevOps benefits to their directors who are from the business area</t>
  </si>
  <si>
    <t>What does change is trying to keep up to speed and keep the class adjusted for, uh, what the current state of the art and the current understanding of best practices. Now that's a little bit of a challenge for me because, you know, I'm, I'm working out in industry, but I'm still only seeing my particular company and how we fight some of these battles and, and deal with some of these problems.</t>
  </si>
  <si>
    <t>it's hard to keep up with industry best practices</t>
  </si>
  <si>
    <t xml:space="preserve">but over , the, the basic structure, the scaffolding I think has held fairly true where we focus on some devops principles. We focus on concepts. We focus on goals. We focus on limitations. We move through some technology on the application side, we'll move through a little bit of technology on the operation side. </t>
  </si>
  <si>
    <t>the course focuses on principles of DevOps, making use of technologies</t>
  </si>
  <si>
    <t>it can be a little harder garner garnering some of that same thing from, from industry, you know, unless you happen to find reasonably wit reasonably written, uh, white papers or, or things along those lines</t>
  </si>
  <si>
    <t>it hard to find strategies from industry unless if it written in a paper</t>
  </si>
  <si>
    <t>So we do things in sort of an iterative and incremental model where every week or every sprint, if you will build on the previous one.</t>
  </si>
  <si>
    <t>So I try to give folks one or two small projects.</t>
  </si>
  <si>
    <t>specific what projects the students will work</t>
  </si>
  <si>
    <t>I have tended to get much more forgiving on how I, for example, grade this particular course, I used to be one of those folks. You know, you, you do the assignment and then you get a grade for the assignment. And at the end of the day, and this is not just devops it's it's for other courses as well. At the end of the day, I'm way more concerned. They're able to get stuff working and that you understand why we're doing it.</t>
  </si>
  <si>
    <t xml:space="preserve">just receive the task done do not means that students learned correctly </t>
  </si>
  <si>
    <t>I will try to provide, uh, some kind of, of jump-starting as far as people learning at technology. So for example, here's commonly used commands. Here's why you use them. Here's how you use them.</t>
  </si>
  <si>
    <t>provide to people jump-starting learning of the tool</t>
  </si>
  <si>
    <t xml:space="preserve">Some of this even goes down to git right, because a lot of people coming in know something about git a lot don't um, in many ways, my opinion, which I realize is, is probably not widely shared is that even if we were restricted from a software engineering department perspective, almost everything we're teaching should be retooled along devops lines, uh, because teaching students how to write code without teaching them how to manage code is a serious problem. </t>
  </si>
  <si>
    <t>uses git to teach how to manage the code</t>
  </si>
  <si>
    <t>a lot of the tools that we're using are brand new. For many people, getting them all to work together can be particularly challenging.</t>
  </si>
  <si>
    <t>it hard to make all the tools work together</t>
  </si>
  <si>
    <t>for this course, I haven't done as much in terms of team projects, although I'm rolling that around to every, because everybody loves team projects.</t>
  </si>
  <si>
    <t xml:space="preserve">students like to work on projects organize by team </t>
  </si>
  <si>
    <t xml:space="preserve">the exams are really more the conceptual or philosophical elements stuff, where there is a little more of a, a cut and dry response, or at least I try to structure them that way. </t>
  </si>
  <si>
    <t xml:space="preserve">make exams more conceptual </t>
  </si>
  <si>
    <t>Our particular curriculum tends to allow out of, some degree of necessity and amount of interest based learning. You know, I care about software architecture. And so that's where I want to focus.</t>
  </si>
  <si>
    <t>teach software architecture</t>
  </si>
  <si>
    <t>And particularly if we assume that master's students are not going to stay in whatever their particular area is, they're probably going to grow beyond it. That demands a wider understanding, a broader understanding of software development or the software as a whole, everything from project management to testing, to development, to operations, you know, really the, the cold classic SDLC, although we may not use it in all those contexts contained really good, uh, clues around the areas that I think all of our students need to be cognizant of and have at least some exposure to the biggest area that I think we're missing.</t>
  </si>
  <si>
    <t xml:space="preserve">present all the classic Software development process (SDLC) for master's students  </t>
  </si>
  <si>
    <t xml:space="preserve"> What does it mean when something is in production versus when you're just building it on your machine? The challenge of course, is newer students obviously have more than enough to worry about just getting code wrong and compile. Uh, but that's, that's the reality, unfortunately, is the code just doesn't run a compile on a laptop, right? It runs out in production and it's serving real people. And in this day and age, there is, there is stuff that goes with that. And the more folks understand, at least some of the sooner, the better I hope the software will be.</t>
  </si>
  <si>
    <t>show the students the differences between run in production in their local machine</t>
  </si>
  <si>
    <t>I told the students, this is a class where you will not see formal descriptions. You will get your hands dirty into scripts that work one day and do not work the next day.</t>
  </si>
  <si>
    <t>the labs need to be constantly revised because could have some problem related deprecated functionality</t>
  </si>
  <si>
    <t>So they start laughing. And then after a few weeks of doing it, they realize that it's, it's actually what's happening, right? The test are green all the time. And when you ask them to show you, they show you, they run the test and all of a sudden it's red and they have no clue. Why? Because, oh, it was working 15 minutes ago. Why is that?</t>
  </si>
  <si>
    <t>students have difficulty in debugging problems related to red tests</t>
  </si>
  <si>
    <t xml:space="preserve"> How to express concept, formalize them. But at the same time also focus on those issues that are getting in the way, the non-industrial way of, you know, writing scripts that if you want to industrialize them and they become Bulletproof, it's a mess, right? It's difficult.</t>
  </si>
  <si>
    <t>there is not bulletproof in devops</t>
  </si>
  <si>
    <t>when you do continuous integration, you need to have a logical base. You need to have a lot of people committing in the code changes often. Um, you need to have a lot of machines. You have the machines where people are coding. You have the machines that are building, you have the machines that are the way you run your database.</t>
  </si>
  <si>
    <t>continuous integration require more than one machine to effectively do</t>
  </si>
  <si>
    <t>You have the machines where you deploy to. Um, and quite often the students are in the same classroom on the wifi of the universities or the under the sub network, but the ports are not open [...] you need a lot of machines interconnected, um, with visibility on each other that they can get to. And that's hard in a, in a, in a classroom environment this year I had 78 students.</t>
  </si>
  <si>
    <t>the academy has network limitations to create near-real infrastructure</t>
  </si>
  <si>
    <t xml:space="preserve"> There was something like 17 groups.</t>
  </si>
  <si>
    <t>students organized by groups</t>
  </si>
  <si>
    <t xml:space="preserve"> first year I did a lot of concept on the whiteboard, um, and then went to exercise for the students to practice. It's not efficient.</t>
  </si>
  <si>
    <t>is not efficient to have more theoretical part than practice part during the teaching</t>
  </si>
  <si>
    <t>Once you've been to the exercise session, you have to go back to the concept again and display them again because the, some concept only makes sense when you apply them.</t>
  </si>
  <si>
    <t>DevOps concepts need to be shown in practice so that students can understand</t>
  </si>
  <si>
    <t xml:space="preserve">the second recommendation is update your exercises often. </t>
  </si>
  <si>
    <t>check if the exercise is update before to give to students</t>
  </si>
  <si>
    <t>Um, we got bit by that quite a few times where we built the stack plus G unit plus, uh, we use, um, uh, some additional libraries for front-end, uh, some scripts for building Docker images, some version of Marven, and you need an Artifactory, et cetera. You can get everything set up, everything works fine up to June. Then you go on summer break and then the next session comes up in September and you use what you've built well, too bad. In the middle of the summer, Jay, you need to release a new version that requires where some acts of Maveron that requires this version of the stack of the student install from scratch on their machine.</t>
  </si>
  <si>
    <t>exercise is outdated is little time after created</t>
  </si>
  <si>
    <t xml:space="preserve">And then another team uses in a 13 deploys to environment that the first team cannot get to because it's a production environment that the coder will not get access to it. So in real life, you have different teams of people that talk only through some channels. </t>
  </si>
  <si>
    <t>show the operational constraints to students</t>
  </si>
  <si>
    <t xml:space="preserve">  they need Jenkins. So either you tell them to go install Jenkins, or what I've done is I say, Hey, here's a Docker image for Jenkins.</t>
  </si>
  <si>
    <t>use jenkins as continuous integration tool</t>
  </si>
  <si>
    <t xml:space="preserve"> I teach compilation and testing. Then I teach continuous integration.</t>
  </si>
  <si>
    <t>teach compilation and testing before continuous integration</t>
  </si>
  <si>
    <t xml:space="preserve"> Um, and if you're the things and they've launch, you know, Docker and Jenkins</t>
  </si>
  <si>
    <t>use jenkins and docker as devops tools</t>
  </si>
  <si>
    <t>the environment set up is hard. And what helps is to build something that is portable and something that can be broken down into several pieces where one student runs one bit and then another students runs the rest.</t>
  </si>
  <si>
    <t>break the environment setup in various pieces</t>
  </si>
  <si>
    <t xml:space="preserve">we give them a case study or, um, uh, target and they choose the architecture and the technology that they want. </t>
  </si>
  <si>
    <t>make students choose their projects from a well-selected set of projects</t>
  </si>
  <si>
    <t xml:space="preserve">So by forcing the technology stack and telling them, </t>
  </si>
  <si>
    <t>forcing students to use tools used on course</t>
  </si>
  <si>
    <t>we will also build a sample, which is on github. I'll send you the link. If you want. We build a sample that is called a cookie factory. Um, it's, it's a system to handle a cookie factory where you can order cookie pay for them, and you get a shopping cart with cookies, et cetera, right? So it's just a small sample,</t>
  </si>
  <si>
    <t>making students work on toy projects</t>
  </si>
  <si>
    <t>but, but it's been billed according to the right guidelines that we want them to use. So they can borrow heavily from the sample. They can see sample testifies, sample integration test, sample Docker files, componentization, et cetera.</t>
  </si>
  <si>
    <t>create examples and guidelines to help students develop their solution based on it</t>
  </si>
  <si>
    <t>I mean, they're free to do what they want from a functional standpoint in the project, but from a tools and technology, we force</t>
  </si>
  <si>
    <t>it is necessary to give freedom to student develop their personal solution</t>
  </si>
  <si>
    <t xml:space="preserve">I was saying at the beginning is that when you tell them that they're going to get their hands dirty and things that work one day will not work the other day, they start laughing. They don't take it seriously. Um, and then when they, when they building and they build a script to, I don't know, run some integration tests or to magically build Docker images and deploy them, it works on the machine on one guy of the group because they're working group, right? So they talk together. The one guy actually typing on the keyboard, he commits a script and they go, yes, we're done for the day. Let's go to some of the tasks, right? And then the next day somebody else was in the group wants to use it. And it doesn't work for them because they have a different environment because the script was assuming that the Docker was installed.
</t>
  </si>
  <si>
    <t>students only understand   problems of the environment  when they experiment in the practice</t>
  </si>
  <si>
    <t xml:space="preserve">So they can see the impact. And I've asked them to demonstrate that they are able to, with a good set of tests, that they are able to catch errors that would impact on the stream component, that otherwise would be hard to catch. Um, and that is a kind of things where it should say it on the, on the white board, the thing is so trivial. </t>
  </si>
  <si>
    <t>some subjects cannot be teaching on the whiteboard</t>
  </si>
  <si>
    <t xml:space="preserve"> So what is hard is to be prepared with, um, a technology stack that is robust and simple or very simple so that you know exactly what you look when you help them debug.</t>
  </si>
  <si>
    <t>is hard to find the best set of tool to teach devops</t>
  </si>
  <si>
    <t>Um, but then the preparation for the class itself was a concept class. That's, I've done that. Um, and then adjust, but it's no more difficult than any other class. It depends what you know, and what you do as a job. Right? And that's part of my job to do it. So I feel comfortable</t>
  </si>
  <si>
    <t>teach DevOps requires much knowledge from the professor who could not be familiar with it</t>
  </si>
  <si>
    <t>I've tried to be very incremental. Um, first teach the value of tests, then write the script to build everything on your desk. You don't need any you're alone. You go, you don't know everything. You build everything on your desk. Then break it down into several components and build them one by one, then put an Artifactory in the middle.</t>
  </si>
  <si>
    <t>teach subject incrementally</t>
  </si>
  <si>
    <t>I called a, um, whiteboard free session. So I go something like every week we have half a day, one hour of, uh, formal teaching. And then two hours exercise and we do that for like three weeks in a row. And then the first week is the content of the classroom is not defined. It's just called whiteboard session. And I start by seeing, what are you facing? What are your obstacles? What did you run into in the last exercise? And I also take a lot of notes during the I go around the groups and I take a lot of notes of what fails and, and with just that, I go back to the whiteboard session, um, to come back to the</t>
  </si>
  <si>
    <t>separate a time where the professor could make clear all the question group by group</t>
  </si>
  <si>
    <t xml:space="preserve"> we also do two evaluations, one in the middle and one at the end. So the one in the middle, we call it MVP evaluation. And we tell them, at this point, you should have reached an MVP, which is basically a walking skeleton for your code. We don't care if when you call the API, the only code of the API is return true, or which are 12, but we care that you have the components in place. You can build them independently and they can talk to each other. Right? So at this, we validate that your componentization and your architecture is good even before you start building algorithms and the functional code. Um, so we do that and that's, again, that's to catch early, um, architecture mistakes.
</t>
  </si>
  <si>
    <t>make an evaluation in the middle and the final course</t>
  </si>
  <si>
    <t>we also have a lot of evaluation during the exercise. When group after group, where we, we give them flags if week green, yellow, or red, based on where we think they are, uh, regarding the objectives.</t>
  </si>
  <si>
    <t>give feedback about project students evolution along with the discipline</t>
  </si>
  <si>
    <t>I check out the code of every group. And I look at the commits who has done what I look at. How has it been coded, easy to blatant copy paste of somebody else's code? Is it innovative? I run all the scripts. I ask them to provide me with scripts that are portable, that will run on my computer. Um, and there has to be a bill script or run script, uh, scenario, script, et cetera. And I run them on my computer. It takes four it's very long. Uh, but it's an effective way of checking what they've done.</t>
  </si>
  <si>
    <t>it is arduous to give a personal evaluation for each group</t>
  </si>
  <si>
    <t xml:space="preserve">How do you work in sprints? </t>
  </si>
  <si>
    <t>difficult in to organize subject for each sprint</t>
  </si>
  <si>
    <t xml:space="preserve">We, we were looking at, can we do something earlier in the curriculum, right? One year earlier, what we think we can do one year earlier is more basic. </t>
  </si>
  <si>
    <t>discipline requires knowledge taught at the advance level of the course</t>
  </si>
  <si>
    <t xml:space="preserve">whatever they found it valuable usually, um, after the class is done at the end of the year, they don't always see the value. It's the kind of class where you want them to know this stuff, because once they will be in the industry, they'll need it every day. Um, but they don't know they need it every day. </t>
  </si>
  <si>
    <t>students do not know the importance at industry of the knowledge taught</t>
  </si>
  <si>
    <t>Now I realize every day that I need testing and continuous, I mean, Jenkins is my friend  [...] we build Docker images. We show them Kubernetes</t>
  </si>
  <si>
    <t>Docker, Jenkins, and Kubernetes can be chosen as DevOps tools</t>
  </si>
  <si>
    <t>We show them Kubernetes, um, but they don't really have time to practice on Kubernetes</t>
  </si>
  <si>
    <t>the course has insufficient time to practice properly</t>
  </si>
  <si>
    <t>That's exactly. That's a lot for one semester</t>
  </si>
  <si>
    <t xml:space="preserve">one semester is insufficient time to teach </t>
  </si>
  <si>
    <t>We have half a day for a software architect introduction in half a day for DevOps people have one day a week or once a mont</t>
  </si>
  <si>
    <t>organize days to teach basic knowledge as software architecture</t>
  </si>
  <si>
    <t>I'm not much teaching material like the books, which are available, a moral focus on it is more general discussion about DevOps.  But when you are teaching, you want to be able to know more concrete things. You want to give some assignment with students and so on. And then the books are more industry oriented.</t>
  </si>
  <si>
    <t>the books focus on the DevOps mindset</t>
  </si>
  <si>
    <t xml:space="preserve">I'm not much teaching material like the books, which are available, a moral focus on it is more general discussion about DevOps [...]   I spent a couple of discussing about the concepts discussing about the issues.
</t>
  </si>
  <si>
    <t>books available could help to create discussions about issues faced by DevOps</t>
  </si>
  <si>
    <t>So all of us, we covered a bit in really in the course, but also the, I mean, the lectures, but also they practice that in the lab.</t>
  </si>
  <si>
    <t>make use of labs and lectures</t>
  </si>
  <si>
    <t>we've implemented an application, uh, a web application, which, uh, in, currently we are using the application we use is a banking application. It is the online banking where people can go in and create an account or transfer between accounts and do all those kind of thing.</t>
  </si>
  <si>
    <t>uses toy projects</t>
  </si>
  <si>
    <t>So we employ someone in our team, a couple of people who work on implementing that, and we created some issues in the application, like some bugs. And, and so what the students have to do in the projects is to start by coming up with the requirements of the obvious application, and then start setting up their own environment and provide some additional functionalities that we want to implement. And then we see allow them to go through the DevOps cycle by adding, uh, a couple of new features and going through the second couple of a few times.</t>
  </si>
  <si>
    <t>try to simulate a real scenario</t>
  </si>
  <si>
    <t>the point is how do we adapt DevOps in concept in a way where we, we are still take keeping in mind the theoretical foundation, but where make it making it interesting from an industry or practical perspective.</t>
  </si>
  <si>
    <t>difficult to teach DevOps with solid theory and also with industry perspective</t>
  </si>
  <si>
    <t>for exam can be to use an open source application that we can use</t>
  </si>
  <si>
    <t>an application used for the exam</t>
  </si>
  <si>
    <t xml:space="preserve"> the challenge sometimes is finding a good open source application, which is not too big also because you don't want the project to be too big. You don't want it to be too small, but you don't want too big. So, so finding something in between, which can be used. And, and, uh, so </t>
  </si>
  <si>
    <t>It is not easy to find the right open source project for students to use.</t>
  </si>
  <si>
    <t xml:space="preserve">I try to use as much as possible with tools that people use in industry and companies. </t>
  </si>
  <si>
    <t>try to use tools used at industry</t>
  </si>
  <si>
    <t>And, and, uh, so in terms of the continuous integration server, and there are many different services available, but can we use Jenkins because it is a, it is free and, and a lot of companies are using, but there are some other options that can be used.</t>
  </si>
  <si>
    <t>Jenkins can be used as a continuous integration tool</t>
  </si>
  <si>
    <t>we use Selenium for test automation and, and, and, uh, we use also SonarQube to help us on the automation and for performance testing we use JMeter and, and, uh, is info, security testing fact.</t>
  </si>
  <si>
    <t>uses Selenium, Sonarqube, JMeter as DevOps tools</t>
  </si>
  <si>
    <t xml:space="preserve">So in terms of the tools, I feel better. I think one of the good aspect in DevOps is that there are a lot of tools </t>
  </si>
  <si>
    <t>there are many tools available</t>
  </si>
  <si>
    <t>there there's a big focus on tools.</t>
  </si>
  <si>
    <t>so many people only focus on the tools side from DevOps</t>
  </si>
  <si>
    <t xml:space="preserve">We use a very specific language. This is to just make it easy. I mean, sometimes we give it a bit too flexible. So right now we use a Java and Java script because we are targeting web application. But, uh, when we students are implementing, uh, new features, so we give them the flexibility. </t>
  </si>
  <si>
    <t>it is important to give flexibility to students to develop their solution although some things are determined</t>
  </si>
  <si>
    <t>That's one of the challenge that I find in preparing proper courses, finding and implementing an application, creating some issues in it, some bugs in it.</t>
  </si>
  <si>
    <t>it is laborious to prepare the exercise that the students will work</t>
  </si>
  <si>
    <t xml:space="preserve"> I split, but so about 80% of presentation is just a regular, uh, concepts and so on and about 20% is about concrete applications</t>
  </si>
  <si>
    <t>It is about 80% to presentation and 20% to concrete practice</t>
  </si>
  <si>
    <t xml:space="preserve">for my assessment, most of the time to give a problem solving questions where I put a problem and say, okay, and push a student to critically think. </t>
  </si>
  <si>
    <t>instigate discussions about problems with the students</t>
  </si>
  <si>
    <t xml:space="preserve">I use a couple of books, um, and, uh, as I said, to to be able to own, um, they cover many different topics. And so I tried to use one over, two picks in it. [...] I still think that, uh, the idea scenario would have been able, will have been, to be able to do a situation where I can take several topics in the book and then cover them from the beginning to them. But, uh, I haven't been able to find that possible yet. </t>
  </si>
  <si>
    <t>it is necessary to use multiple books because they do not cover all themes</t>
  </si>
  <si>
    <t>for us as educators, we need to find a way where we can make it interesting.</t>
  </si>
  <si>
    <t>make a DevOps course attractive to the students</t>
  </si>
  <si>
    <t>I would say at the end of the fall, or maybe at the beginning of 2019, we started to plan this course. And for the longest time I was really questioning myself. Like, what do you teach in a DevOps course?</t>
  </si>
  <si>
    <t>difficult to define syllabus for a DevOps course</t>
  </si>
  <si>
    <t>Like, do you teach just technologies like Kubernetes and Docker? And, and I kept saying, no, this is not why I went back to university. I don't want to be just teaching techniques and tools because these will change over time.</t>
  </si>
  <si>
    <t xml:space="preserve">teaching DevOps cannot focus on technologies </t>
  </si>
  <si>
    <t xml:space="preserve">I wanted to go with open source technologies so I can explain later how we build the labs, </t>
  </si>
  <si>
    <t>prefer to use open source technologies</t>
  </si>
  <si>
    <t>since we'd have four labs, the last two were, were the, the, the assistant I had two for the labs was too busy with too many things.</t>
  </si>
  <si>
    <t>try to have teacher assistants supporting teachers to reduce the workload</t>
  </si>
  <si>
    <t>the students were still very satisfied with the course [...] we built on the labs of last summer, but may that kind of a case study kind of fixtures case study and the students pretty much like it.</t>
  </si>
  <si>
    <t>try to use case study together labs</t>
  </si>
  <si>
    <t>I'm always asking you the last factor. I'm always taking almost an hour to, as a student. Just give me your feedback. Like, like very openly, right? That's you should all give me a feedback again. [...] So you need to get the feedback</t>
  </si>
  <si>
    <t>constantly get feedback from students about the quality of the course</t>
  </si>
  <si>
    <t xml:space="preserve"> you don't get the feedback, right? So, and when we, when the students do the student evaluation, of course don't write much. So it's much easier if you can trigger this question,</t>
  </si>
  <si>
    <t>do not try to get feedback before a student assessment, as the student may feel fearful</t>
  </si>
  <si>
    <t xml:space="preserve">So this book [DevOps Handbook] is very well done in this sense [...] it goes to the foundations of devops and gets to the different key ideas, right? </t>
  </si>
  <si>
    <t>use DevOps Handbook book during the course design</t>
  </si>
  <si>
    <t>the main challenge remain the able to, to, to teach the fundamentals. I think that this type, of course almost requires some type of industrial experience, because if you've not been in contact with the industry, there are so many things that are, um, more difficult to, to, to really understand.</t>
  </si>
  <si>
    <t>it is difficult to teach some topics without industry contacts</t>
  </si>
  <si>
    <t xml:space="preserve">the unicorn [project book] who was just, just published last year is more about the Dev stuff, but it really brings it into the mindset of, of, okay, what are the issues concretely that we face. </t>
  </si>
  <si>
    <t>uses issues present by The Unicorn project book</t>
  </si>
  <si>
    <t xml:space="preserve">the question was about the labs, because the labs need to be very concrete. And so we say, okay, what do we do in the labs to get this balance of the foundations? </t>
  </si>
  <si>
    <t>difficult to modeling labs with equilibrate level</t>
  </si>
  <si>
    <t>I actually strongly encourage students to read it, but I know that they don't</t>
  </si>
  <si>
    <t>students do not always study the materials recommend by the professor</t>
  </si>
  <si>
    <t>So right now that we were doing the labs is that I, I built, um, kind of a fictitious company. I mean, based on my experience. And, um, and it's fine, the students work in groups of three. So the first lab, they have to set up their environment.</t>
  </si>
  <si>
    <t>simulate a real industry experience with the students</t>
  </si>
  <si>
    <t xml:space="preserve">So the set up we use GitHub could use whatever, but the, this set up their Kanban is set up that way. They're going to use the Kanban. We bring them also to, to build, uh, two small applications that actually extract, um, data from the Kanban, uh, in GitHub using the GitHub APIs, because I want the students to one that very important aspect of DevOps is the continuous improvement. </t>
  </si>
  <si>
    <t>uses Kanban board from GitHub to teach continuous improvement</t>
  </si>
  <si>
    <t>So second one is about establishing the pipeline and then they finish the second one by, uh, building the Docker images. But it's not in depth about containers or, or kubernetes, but that's easily touch it. Okay.</t>
  </si>
  <si>
    <t>teach how to use tools like Docker and Kubernetes but do not much depth</t>
  </si>
  <si>
    <t>the third lab, that's what we do since last winter. We didn't do it last summer, did deploy on, on, on AWS. So we have, we have built accounts on Amazon, so they can go all the way.</t>
  </si>
  <si>
    <t>make the students experiment how to use a cloud provider</t>
  </si>
  <si>
    <t xml:space="preserve"> Um, but I think to go back to your question, the main, the main challenge in my opinion, is to have, have this balance between being able to talk about the concept, the, the, the, the global approach made sure the students not associated with devops with a CI/CD pipeline, because in my opinion, it's all about continuous improvement. </t>
  </si>
  <si>
    <t>difficult to balance between which concepts we will teach</t>
  </si>
  <si>
    <t>Now we're questioning ourselves. What else did we bring in? We may add some things about a bit of telemetry. So they have a bit of telemetry because they have lives, but we put some emphasis on it.</t>
  </si>
  <si>
    <t>hard to decide whether to teach telemetry or not</t>
  </si>
  <si>
    <t xml:space="preserve">We have built a little simulator that is quite simple, but that's easy to traverse the whole, essentially the main phases of DevOps. </t>
  </si>
  <si>
    <t>uses a simple application to walk through all DevOps concepts</t>
  </si>
  <si>
    <t xml:space="preserve">But I need very solid, uh, research. It's a sorry, a lab assistance. The people responsible for the labs of course, assistants that that can actually deal with the students. </t>
  </si>
  <si>
    <t>the teacher assistants need to be very prepared</t>
  </si>
  <si>
    <t>So that they have a real experience with respect to Amazon, it's pretty simple, and you can get a free Amazon, you just have to register.</t>
  </si>
  <si>
    <t>Amazon cloud provider has a free plan helpful to students</t>
  </si>
  <si>
    <t>initially we were relying the, uh, admin, uh, personnel in our department, not admin, sorry, the, the engineering, uh, the, yeah, the, the infrastructure, the people that are responsible for the labs and so on. And now, since all of the students have their laptop, we try to make it as industrial as possible in lightweight as possible. So we don't need any internal support. [...] You just need this use to create their, uh, GitHub accounts. And, uh, you have to register to be able to get some AWS, uh, credits so that you can share with the students, but it's quite, it's quite easy.</t>
  </si>
  <si>
    <t>you do not need to worry about university infrastructure support if the students have laptops and an Amazon account</t>
  </si>
  <si>
    <t xml:space="preserve"> So it's rather simple that we, we let them, of course use the programming language. They want to develop the application. So, you know, the department, I think traditional were quite open with respect to that in the department. Yes. Java is still used, but students, these days, don't like Java. Um, they prefer Python. They prefer different things. So for us, we don't care, right? The application we give them when we gave them the HVAC application, we give them, uh, I think they have, I should even look myself, but I think we, we created two versions, one, it says Java version.</t>
  </si>
  <si>
    <t>create different versions of the application used by the students to instigate more engagement</t>
  </si>
  <si>
    <t xml:space="preserve">from a tooling point of you, um, for the pipeline, we, we recommend Travis CI, but essentially we try to use one of the things that's in the course, which is, um, we support them with some technologies. </t>
  </si>
  <si>
    <t>adopt Travis CI as continuous integration during the classes</t>
  </si>
  <si>
    <t xml:space="preserve">So we support them to the Travis CI. We support them with a certain number of things, but if they want to choose something else, it's okay. I mean, but you know, they have to understand that we won't necessarily support them. </t>
  </si>
  <si>
    <t>give freedom to the students to choose whatever tools they want but always make clear that there only will support to the tools adopted by the course</t>
  </si>
  <si>
    <t>but with respect to the technologies, I think that knowledge is, will change [...] I think like one of the, uh, not too good to give it giving advices or, but I can share my experience and my thoughts. Um, I think that that's important to remember one thing as important as what is the objectives of your course.</t>
  </si>
  <si>
    <t>constantly remember the students what the objective of the course is</t>
  </si>
  <si>
    <t>first define the objectives of your course and making sure you stick to it</t>
  </si>
  <si>
    <t>define clearly the objectives of your course and make sure you stick to it</t>
  </si>
  <si>
    <t xml:space="preserve">the slides, I can send you all of the slides. [...] So in fact, if someone wanted to do, and if someone wants to do it, I'm willing to collaborate to do that. Because I think that if we could have an English version, there will be many people worldwide that could use it. Okay. </t>
  </si>
  <si>
    <t>creates the slides in English to make it possible to collaborate with other professors around the world</t>
  </si>
  <si>
    <t>So what I do is I split the exams in two parts. So one part is exactly quiz questions. So they have multiple choices. And then I give them two case studies, uh, so to see if they can analyze a given situation.</t>
  </si>
  <si>
    <t>uses quizzes and case studies to evaluation of the students</t>
  </si>
  <si>
    <t>it's not an analysis course, but I tried to bring it back regularly and say, okay, if you want to improve a process, whether you do so, it's one of the, one of the section in the book. And so it's okay. [...] you go from there to identify the, the points that could be improved, right. And then how do you want to improve it, then the techniques that are described in the book?</t>
  </si>
  <si>
    <t xml:space="preserve">constantly try to figure out how to improve the quality of the course </t>
  </si>
  <si>
    <t xml:space="preserve">I didn't find any course, really I was looking for courses in devops, like yes, there were courses that talk about kubernetes that these, yes. There are courses that talk about, uh, integrated testing. Yes. There are courses. We talk about AWS and cloud, but I didn't find any course on devops that I can two years ago that I'm almost like three years ago now when I started to work on it, um, use as a basis. Right. So the first semester was a nightmare. 
</t>
  </si>
  <si>
    <t xml:space="preserve">it isn't easy to create a DevOps course without having another course as a reference </t>
  </si>
  <si>
    <t>we hear from our industrial partners and from industry in general is there's this HUGE gap right? Between what the industry needs and what university provides.</t>
  </si>
  <si>
    <t xml:space="preserve">there is a lack between what the industry wants from students about DevOps and what the university teaches </t>
  </si>
  <si>
    <t>o essentially DevOps is you probably saw those data, but it's the, the, the engineering discipline or the term that was most associated with the hires in LinkedIn, in, in 2018, 2019, and yet no universities have a program in DevOps, no universities, essentially very few universities have a course in DevOps.</t>
  </si>
  <si>
    <t>few universities have a DevOps course</t>
  </si>
  <si>
    <t xml:space="preserve">you can make the lectures more interactive </t>
  </si>
  <si>
    <t>make the lectures more interactive</t>
  </si>
  <si>
    <t>you can make the lectures more interactive, but to make the lecture attractive students have to willing to interact. Right. Which is very difficult to do.</t>
  </si>
  <si>
    <t>make the lectures attractive is difficult</t>
  </si>
  <si>
    <t xml:space="preserve">in some topics, maybe it's introducing a bit more. So say that you're getting in the topic in the, in the lecture where, um, containers are, are relevant and then deployment is relevant. Then maybe the way is to discuss a bit more maybe than use Kubernetes and Docker, give concrete examples and stuff like that that supports the reading that they have done. </t>
  </si>
  <si>
    <t>show concrete examples when you are presenting some tool</t>
  </si>
  <si>
    <t>I'm thinking of bringing a couple of, um, industrial speakers as well to share their experience.</t>
  </si>
  <si>
    <t>try to bring industrial speakers to share their experience</t>
  </si>
  <si>
    <t xml:space="preserve"> having the book has a lot of case study and examples like Facebook, Google, LinkedIn, uh, Netflix, </t>
  </si>
  <si>
    <t>there are many case studies of Facebook, Google, etc. in books</t>
  </si>
  <si>
    <t xml:space="preserve"> If I was asking you the question and say, give me the three benefits of this thought of this, uh, concept, then it's memorization. But if I give them five, if I give you five choices and they could be between zero and five, that are true statements with respect to this concept, it's not about memorization. It's about understanding,</t>
  </si>
  <si>
    <t>questions about DevOps concepts in multiple-choice format mitigate the problem where the students try to memorize found in the discursive mode</t>
  </si>
  <si>
    <t>teaching this course, it's possible to teach it with students with no experience, but it makes the thing like this. I've been trying to have interactions with the students about, I know certain topics become quite difficult because they cannot relate it to anything concrete.</t>
  </si>
  <si>
    <t xml:space="preserve">students with no work experience could participate but will have difficulty assimilating some topics </t>
  </si>
  <si>
    <t>I know certain topics become quite difficult because they cannot relate it to anything concrete. And this is where these books like the Phoenix projects and the unicorn project can be good</t>
  </si>
  <si>
    <t>uses the experience mentioned in the books Phoenix Projects and The Unicorn Project</t>
  </si>
  <si>
    <t>if you want to be able to experiment and, and to, to, to do the postmortem so that you can learn and you can solve issues and stuff</t>
  </si>
  <si>
    <t>make postmortem with the students can solve problems</t>
  </si>
  <si>
    <t>if the students are willing to share their experience, then it makes the other students realize that this is real, right. It's not only the prof who's telling about this, but some, actually people like us have lived things that are related to it.</t>
  </si>
  <si>
    <t>create an environment where the students can share their experiences</t>
  </si>
  <si>
    <t>this course has a very specific structure, which is not usual. Uh, the structure is that, uh, everything. Um, I think you have access to our GitHub repository and everything is, uh, available.</t>
  </si>
  <si>
    <t>make public access the content of the course using the GitHub</t>
  </si>
  <si>
    <t>the main, uh, challenge that we had was that DevOps is, there are many too many tools and, uh, many of these tools are not solid yet.</t>
  </si>
  <si>
    <t>there are a lot of DevOps tools</t>
  </si>
  <si>
    <t>And, uh, we could invite them and, uh, ask them to, uh, to do a lecture for students [...] Uh, we can have people, uh, there, there are, uh, there are everywhere that we can invite and, uh, let the students know what is going on in practice, not just some, uh, theoretical</t>
  </si>
  <si>
    <t>invite DevOps industrial professionals to present practical labs</t>
  </si>
  <si>
    <t xml:space="preserve"> So, uh, we didn't have some predefined, uh, projects, and as we can, yes, this was a bigger problem for us.</t>
  </si>
  <si>
    <t>not predefine the projects could be dangerous for the organization of the course</t>
  </si>
  <si>
    <t xml:space="preserve">in fact, some of them, we asked them to, um, to, if they wanted to do a tutorial on a tool, we ask them to upload that tutorial on, uh, Katacoda. </t>
  </si>
  <si>
    <t>uses the Katacoda to upload tutorials of tools</t>
  </si>
  <si>
    <t>So we asked the students, uh, to, uh, use another tool if they want to present something that doesn't work on katacoda. So, uh, the way that we solved it was to change the requirements and to change the, uh, change the environment and the tools that they had to use.</t>
  </si>
  <si>
    <t>anything could not work well if the students use other tools or configuration</t>
  </si>
  <si>
    <t>we wanted to let the students, um, go their way and, uh, and just, uh, just find whatever they want to find and work on whatever they want to work on and let them be free since that was our goal in this course,</t>
  </si>
  <si>
    <t xml:space="preserve">give freedom to the students to choose what tools they are going to work </t>
  </si>
  <si>
    <t>other task that we ask them to do something for our own course, and, uh, then, uh, engage in a conversation with TAs and other students to make sure everything's more work well.</t>
  </si>
  <si>
    <t>encourage students to engage in conversations among themselves and with teaching assistants</t>
  </si>
  <si>
    <t>we had to do as TAs and other things I think, uh, we, it's not, uh, only before the lecture, but during the whole, uh, time that this, uh, this course was, uh, going on, we had to check the, uh, check the github. And, um, students had, since they had to make some contributions, uh, we had to make sure that their contributions, uh, could pass all the checks that we had. [...] So we had to check that they were doing what they were supposed to do before the lectures, during the lectures and after it. So that was our, uh, our role in this course.</t>
  </si>
  <si>
    <t>direct the teaching assistants to make sure the students respect the rules of the course</t>
  </si>
  <si>
    <t>it was hard to stay as objective as possible and to have, uh, have the same criteria and metric for, uh, scoring different students, because someone was working on this project, someone was working on that project. It was hard to do that. So it was a major challenge for us.</t>
  </si>
  <si>
    <t>it is difficult to grade the student's project</t>
  </si>
  <si>
    <t xml:space="preserve"> I think if we lay the rooms, uh, maybe it's more clearly and more specifically, I think students, we know better what they will get from what they do.</t>
  </si>
  <si>
    <t>make clear the rules of the course</t>
  </si>
  <si>
    <t>each week we had, uh, four hours of, uh, lectures and answering questions from students and, and, uh, making, making some points about the course more clear.</t>
  </si>
  <si>
    <t>separate time to answer the question of the students</t>
  </si>
  <si>
    <t>I think one challenge can be considered as, um, let's say political challenge that you have to convince in a way that DevOps is not purely technical and that it's must be part of an academy curriculum.</t>
  </si>
  <si>
    <t>difficult to convince to put as part of an academic curriculum</t>
  </si>
  <si>
    <t xml:space="preserve">I think the course we've built in France was successful because we've done it with a software architect from IBM or the guy who was building, um, like as part of his industrial practice, he was building huge, uh, systems. </t>
  </si>
  <si>
    <t>bring industry professionals to contribute to the course</t>
  </si>
  <si>
    <t>you need to have people interacting with the students that are practitioners and that really, uh, well know their in a way.</t>
  </si>
  <si>
    <t>try to interact with the students</t>
  </si>
  <si>
    <t>the last challenge [...] still relates to the culture. And the fact that DevOps is not just purely technical, it would be related to the fact that it's really complicated teach on a given semester because you have, let's say 13 to 15 weeks, three hours a week, and then you have to go through you can't address like large, large project because it doesn't fit in the semester.</t>
  </si>
  <si>
    <t>the students cannot work on large projects because the time is limited</t>
  </si>
  <si>
    <t>if you give artificial example or small toy example, then it's just going about configuring small things. So naturally naturally what DevOps is, uh, it's really complicated to make the students experience a cultural change and those kinds of things, because there's, well, there's no culture of, uh, industrial project in a school because it's academic project or it's teaching how to behave in a industrial proje</t>
  </si>
  <si>
    <t xml:space="preserve">the students can have difficulty understanding the DevOps culture working on a small toy project </t>
  </si>
  <si>
    <t>I mean, there are students, so they are, they are not in the industry yet. And so that's, that would be the main part to make the student understand that it's, it's not about configuring Jenkins or having Docker running on their computer.</t>
  </si>
  <si>
    <t xml:space="preserve">the students without industry experience can have difficulty to understand that DevOps is much more than using tools </t>
  </si>
  <si>
    <t>And the second recommendation would be also related [...] about sharing. Like I started to share the material. I've started to discuss with our colleagues in France, you know, the countries just, okay, Hey guys, we're doing this, but you think about that. And they were like, I would not have addressed the problem like this, or here, look, I have this awesome case study. So that's where using, maybe you can reuse to use it too.</t>
  </si>
  <si>
    <t>uses this course as a reference to create others new courses</t>
  </si>
  <si>
    <t xml:space="preserve">that's really complicated as, um, like as a teacher, uh, then we decided to move for on premises, uh, version with our own, uh, systems for deployment building and everything, uh, another disaster, because then it requires a lot of maintenance </t>
  </si>
  <si>
    <t>on-premise tools need constant maintenance</t>
  </si>
  <si>
    <t xml:space="preserve">We try to use, um, like remote services to relieve the burden of setup saying that, okay, you're going to use Jenkins on the cloud. Then you're going to use, we have this partnership with IBM. So we're using to use the blue-J platform from, uh, IBM that was supporting this kind of thing, um, disaster, because in the end it was really complicated to debug what was happening because you don't have the access go on the what's happening. </t>
  </si>
  <si>
    <t xml:space="preserve">services on the cloud can have difficulty debugging the logs </t>
  </si>
  <si>
    <t>in the last, uh, iteration, we've tried to let the students, uh, deal with the setup and, uh, install everything on their computer with Dockerizing stuff and scan things. And that was yet another disaster because then it's not reproducible and it works on their computer, but then it's really complicated to make it work on the TA.</t>
  </si>
  <si>
    <t>creating the environment on the machine of the students using Docker can be complicated; even having teaching assistants</t>
  </si>
  <si>
    <t>we decided to let the student choose and said, okay, you have your option and do what you want, but you're responsible of doing it.</t>
  </si>
  <si>
    <t>let the students configuring their machine by themselves</t>
  </si>
  <si>
    <t>I think maybe the, um, the using external cloud services would give you the better in terms of DevOps philosophy, let's say, because then you're really pushing and you bring stuff outside of the academy ecosystem</t>
  </si>
  <si>
    <t xml:space="preserve">using external cloud services is the better way to the configuration setup </t>
  </si>
  <si>
    <t>The student had to have the code that goes so git as a version control system, uh, GitHub GitLab, the, we had a Bitbucket on-premise also, uh, deployed inside the school.</t>
  </si>
  <si>
    <t>uses github, gitlab or bitbucket as version control system tools adopted by the course</t>
  </si>
  <si>
    <t>I want the code to go through a pipeline. It could be Jenkins. It could be github actions. It could be gitlab workflow. It could be GitHub action</t>
  </si>
  <si>
    <t>uses Jenkins, GitLab, or Github Actions as pipeline orchestration tools adopted by the course</t>
  </si>
  <si>
    <t>I want to be able to deploy it with containers. So it can be, um, through Kubernetes, it can be through Docker.</t>
  </si>
  <si>
    <t>uses Docker and Kubernetes as DevOps tools adopted by the course</t>
  </si>
  <si>
    <t>the lab session, they have to be like really precise. You have to, it would work one day. And then the second day it doesn't work because there's an upgrade in the Docker API that makes things totally different. Or you you're, you're using it in the Dockerfile, you're using keywords. And then suddenly the new version of Docker decide that those keywords are deprecated and that you should not, uh, declared the authors this way.</t>
  </si>
  <si>
    <t>I think the most, yeah, the bigger mistake I've made was to, uh, use a coach. Uh, and we invited him and the guy was, uh, setting himself running himself as a DevOps coach, but the guy just had written books and, uh, had no idea what he was talking about. Like, it was really clear that he was telling just pure marketing. And, um, so finding the right practitioner, the one that's have like the right understanding is often misunderstood. It's like a agile. Agile was a lot badly understood in the, uh, in the industry. So finding the right person is really complicated.</t>
  </si>
  <si>
    <t>bring the right industry professionals to discuss about DevOps is complicated</t>
  </si>
  <si>
    <t>So it was lectures and labs and like a small project, but it was wasn't really satisfactory.</t>
  </si>
  <si>
    <t>uses lectures mixture with labs</t>
  </si>
  <si>
    <t>we decided to go on a problem-based approach. So having like introductory lecture, giving the context, giving the leads to follow, then getting a problem based on, on, uh, like a long-term project for the whole semester.</t>
  </si>
  <si>
    <t>use problem-based approach mixture with project-based approach</t>
  </si>
  <si>
    <t>it's always tricky because it's not a, this kind of topic. It's not a right or wrong situation.</t>
  </si>
  <si>
    <t>it is difficult to grade students because there are many possibilities to solve problems in DevOps</t>
  </si>
  <si>
    <t>what we've done was first to, um, continuously evaluate the teams are they were working on the project.</t>
  </si>
  <si>
    <t>make a continuous evaluation of the projects of the students</t>
  </si>
  <si>
    <t>an undergrad program, it's also something complicated because it's teaching at the undergrad program might make sense, but then it's other kinds of challenges like younger students who might not be interested in this</t>
  </si>
  <si>
    <t>undergraduate students can have no interest in DevOps</t>
  </si>
  <si>
    <t>Like, do you have to go through this course to if you're doing a master or a bachelor in software engineering, is it mandatory to go through DevOps or is it like an option that an optional path that you're following is this kind of, uh, there is no consensus on, on those kinds of, um, uh, things.</t>
  </si>
  <si>
    <t>it does not know if a DevOps course should be mandatory or optional</t>
  </si>
  <si>
    <t>[...]muitas vezes, o professor, ele precisaria de recursos computacionais pra poder abordar certos conteúdos. [...]montar cenários que fossem próximos do reais.</t>
  </si>
  <si>
    <t>Há escassez de recursos computacionais para montagem de cenários próximos dos reais.</t>
  </si>
  <si>
    <t>[...]quando você não tem recursos na estrutura que você tá vinculado, como uma instituição, você tem que delegar que o aluno realmente ache as formas dele[...]</t>
  </si>
  <si>
    <t>[...]soluções que o aluno possa executar no própria computador dele. [...]adaptar pra algo talvez de menos demanda computacional.</t>
  </si>
  <si>
    <t>Aproveitar o recurso computacional do próprio aluno e adpatar para algo que exiga menos demanda computacional.</t>
  </si>
  <si>
    <t>[...]era que isso fosse de alguma forma harmonizada.</t>
  </si>
  <si>
    <t>Harmonizar as abordagens de operação e desenvolvimento.</t>
  </si>
  <si>
    <t>[...]você não consegue avaliar com provas.</t>
  </si>
  <si>
    <t xml:space="preserve">Dificuldade de uma avaliação através de provas </t>
  </si>
  <si>
    <t>[...] você tem que avaliar com projetos com algum tipo de atividade</t>
  </si>
  <si>
    <t>Avaliar a partir de atividades práticas</t>
  </si>
  <si>
    <t>[...]eu acho que uma candidata potencial é o GNS3[...] pra mim é a que mais se aproxima de uma ferramenta educativa pra ensino de de redes, mas também de devops.</t>
  </si>
  <si>
    <t>Utilização da ferramenta GNS3</t>
  </si>
  <si>
    <t>[...]pra mim a abordagem, do ponto de vista de método de ensino, seria realmente baseado em projetos e com atividades práticas ao longo da disciplina.</t>
  </si>
  <si>
    <t>Utilizalçao do método de ensino baseado em projetos e atividades práticas.</t>
  </si>
  <si>
    <t xml:space="preserve"> A gente quer, às vezes, ensinar tudo e a gente não tem tempo infinito[...] fazer caber o conhecimento de DevOps, que é um conhecimento bem amplo e que envolve, pelo menos, duas áreas distintas[...]</t>
  </si>
  <si>
    <t xml:space="preserve">Tempo insuficiente para abordar o amplo conhecimento de DevOps em um currículo com carga horária limitada. </t>
  </si>
  <si>
    <t>[...]fazer caber foi mais difícil porque às vezes o conteúdo é muito extenso e o tempo é limitado.</t>
  </si>
  <si>
    <t>[...]não consegui montar um ambiente de DevOps por restrições mesmo de autorização da reitoria.</t>
  </si>
  <si>
    <t>Dificuldade em conseguir autorização da instituição para que um ambiente de DevOps fosse montado.</t>
  </si>
  <si>
    <t>[...]não existia aí uma ferramenta de de configuração de ambiente.</t>
  </si>
  <si>
    <t>Audência de uma ferramenta de configuração de ambiente.</t>
  </si>
  <si>
    <t>[...]eu tive que delegar essa responsabilidade para o aluno.</t>
  </si>
  <si>
    <t>Tive dificuldade de montar a infraestrutura.</t>
  </si>
  <si>
    <t>Dificuldade em montar a infraestrutura.</t>
  </si>
  <si>
    <t xml:space="preserve">[...] eu gosto muito de basear num livro texto, porque acho que fica bem claro para os alunos uma sequência, né? A gente pode até escolher alguns capítulos, até fazendo uma parte importante assim de um material desses [...]  a gente pesquisa várias coisas  pra montar a nossa aula, mas ter ali uma espinha dorsal formada por uma literatura, eu acho sempre importante. </t>
  </si>
  <si>
    <t xml:space="preserve">Auxiliar-se de um livro texto como base e para se dar uma melhor noção aos alunos da sequência dos conteúdos da disciplina. </t>
  </si>
  <si>
    <t>Não há uma literatura dessa na área de sistemas corporativos, aí acaba que a gente realmente faz uma reunião de diversos vídeos, mas não tem um assim que a gente use como foco, como sendo essa espinha dorsal. Eu particularmente tenho essa abordagem [...] eu queria muito que tivesse uma literatura nesse nível [...]</t>
  </si>
  <si>
    <t>Ausência na literatura de um material base de alto nível, único e centralizador.</t>
  </si>
  <si>
    <t>Mas como não tem, a gente encontra diversos materiais, a gente tem várias publicações</t>
  </si>
  <si>
    <t xml:space="preserve">Fazer a união de diversos materiais e publicações disponíveis para suprir a falta de um matérial unificado, completo e de alto nível. </t>
  </si>
  <si>
    <t>[...] fazer os alunos verem essa abordagem aí da operacionalização, colocar o sistema lá no ar, manter esse sistema, adicionar as novas funcionalidades e não quebrar o sistema[...]</t>
  </si>
  <si>
    <t>Proporcionar uma abordagem mais prática e real da operacionalização</t>
  </si>
  <si>
    <t>[...]uma prática mais profissional, onde eles têm um sistema real que devem implementar e antes não existia assim um ambiente em que pudesse se ter esse portfólio[...] O desafio aí de fazer os alunos verem essa abordagem aí da operacionalização, colocar o sistema lá no ar, manter esse sistema, adicionar as novas funcionalidades e não quebrar o sistema[...]</t>
  </si>
  <si>
    <t>Ausência de ambiente que auxilie na criação de um sistema real e proporcione uma prática mais profissional, assim como uma melhor noção da abordagem de operacionalização.</t>
  </si>
  <si>
    <t>[...]esses sistemas sendo disponibilizados e aí com a criação da ferramenta do DevOps da nuvem do IFRN, o sistema lá de microsserviços, foi possível então a gente ter essa visão mais prática do processo como um todo. Então, eu tenho adotado, em todos os semestres, inclusive, tenho sempre solicitado que os alunos trabalhem com essa ferramenta[...]</t>
  </si>
  <si>
    <t>Utilizar ferramentas disponíveis que tornem possível e auxiliem uma abordagem prática.</t>
  </si>
  <si>
    <t>[...]a gente tá passando por um processo de reformulação de matriz,[...]essa parte de carga horária e essa disciplina, realmente, a utilidade e uma das defesas que foi feita, foi justamente que a disciplina existisse no curso, justamente porque em um outro momento, esses temas não seriam considerados. Então daí a importância de se ter no currículo uma uma disciplina dessas falando sobre esses temas.</t>
  </si>
  <si>
    <t>Formular bem a matriz curricular do curso e manter/criar disciplinas para que temas importantes não deixem de ser abordados.</t>
  </si>
  <si>
    <t>[...]os alunos eles têm algumas dificuldades semestralmente, elas vão acontecendo[...] nas implantações que os times tiveram algumas dificuldades[...]Normalmente eles já chegam com o sistema às vezes implantado em um outro ambiente[...] tem esse choque de essa realidade aí dos alunos em que eles tem que sair de uma ferramenta que eles já estão lá com o sistema rodando e trazê-la para a nossa ferramenta.</t>
  </si>
  <si>
    <t>Fazer a migração de ambiente dos sistemas dos alunos entre as diversas ferramentas usadas por eles anteriormente para uma ferramenta unificada que será usada na disciplina.</t>
  </si>
  <si>
    <t>[...]com o acréscimo do nosso time do PDS do professor Sales, ele  tem um acesso, assim, mais dentro da ferramenta, ele já conhece os mais diversos aspectos, já foi possível a gente sanar diversas dificuldades[...]</t>
  </si>
  <si>
    <t xml:space="preserve">Ao utilizar uma ferramenta para auxiliar o ensino, deve-se ter um bom domínio dela e permissões necessárias/acompanhamento de alguém com tais permissões para lidar bem com as possíveis dificuldade que podem ocorrer durante o uso dela na disciplina. </t>
  </si>
  <si>
    <t>[...]quando eles chegam, muitos utilizam um outro ambiente[...] eles colocam o sistema lá e não tem que se preocupar muito com outros detalhes[...]A gente, realmente, solicita que eles façam essa migração para que eles tenham essa outra visão, desse aspecto da configuração do ambiente. Colocar ele em produção e manter com esse nosso sistema funcionando.[...] eu acho que pode ser encarado isso como um desafio, que é convencer os alunos de dar importância a isso, a importância deles conhecerem esses aspectos também, não deixar isso tão transparente assim pra eles também.</t>
  </si>
  <si>
    <t xml:space="preserve">Dificuldade em deixar claro para os alunos a importância de se ter uma perspectiva mais realista da produção, utilizando outros ambientes e deixando de lado a zona de conforto a qual eles podem estar inseridos. </t>
  </si>
  <si>
    <t>O conceito é fácil de entender, o conceito de entrega contínua é fácil de passar e os alunos aprendem. O difícil é por em prática.</t>
  </si>
  <si>
    <t>Dificuldade de colocar em prática os conceitos de entrega contínua.</t>
  </si>
  <si>
    <t>Se o curso é de desenvolvimento ou que envolve a parte de operação, é importante ter uma disciplina que centralize essas informações, uma disciplina, talvez lá pra frente, que reúna esses conceitos, já preparando mais o aluno pro mercado.[...]uma carga horária um pouco considerável, para ter essa dinâmica com os alunos.</t>
  </si>
  <si>
    <t xml:space="preserve">Ter uma disciplina, com carga horária considerável, para centralizar e harmonizar as informações de desenvolvimento e operação, para que o aluno saia mais bem preparado para o cenário do merado de trabalho. </t>
  </si>
  <si>
    <t xml:space="preserve">Eles já chegam muitas vezes com um sistema implantado num ambiente como esse, sendo que esse não tem muito controle do que acontece por trás. </t>
  </si>
  <si>
    <t>Tirar os alunos da zona de conforto e os fazer utilizar ambientes para implantar seus sistemas onde eles entendam bem seu funcionamento.</t>
  </si>
  <si>
    <t>[...]os desafios que eu posso citar é justamente essa parte aí de você conseguir demonstrar pra eles toda esse nosso ferramental.</t>
  </si>
  <si>
    <t>Dificuldade para demonstrar ferramentas.</t>
  </si>
  <si>
    <t>[...]acho que é um desafio também, nesse sentido de você conseguir associar o conteúdo da aula com a essa visão, assim, teórica, com os exemplos daquilo que envolve na prática deles.</t>
  </si>
  <si>
    <t>Dificuldade para fazer associação entre teoria e prática.</t>
  </si>
  <si>
    <t>Pegadogia</t>
  </si>
  <si>
    <t>Dificuldade maior mesmo, que eu posso ressaltar, é justamente a estruturação, realmente, talvez da sequência das aulas por não ter esse material que que norteia.</t>
  </si>
  <si>
    <t>Ausência de um material norteador para estruturar as aulas.</t>
  </si>
  <si>
    <t>Então, didaticamente, pedagogicamente, lecionar dessa maneira, com a abordagem mais prática, eu acho que é mais proveitosa.</t>
  </si>
  <si>
    <t>Utilizar uma abordagem mais prática.</t>
  </si>
  <si>
    <t>[...] identificar qual escopo relacionado à DevOps que condiz com a necessidade de aprendizado daquele grupo.</t>
  </si>
  <si>
    <t>Dificuldade para conseguir identificar o escopo DevOps mais compatível com cada contexto.</t>
  </si>
  <si>
    <t>[...] a recomendação é entender qual é o contexto de aprendizado da turma. Em qual área específica é dentro do que a gente tem do ecossistema de TI que aquela turma se encontra, que a maioria dos profissionais que tão ali se encontram, para conseguir alinhar com expectativas de estudo.</t>
  </si>
  <si>
    <t>Tentar compreender o nível de aprendizado dos integrantes de cada turma como um todo.</t>
  </si>
  <si>
    <t>O principal desafio é que, em geral, as ferramentas relacionadas com DevOps são sistemas baseados em nuvem[...]Então quanto mais o processo de construção do ambiente se torna fechado, bem estruturado em relação a ter um único método, ter uma única ferramenta, um único template, um conjunto de regras bem estruturado que o aluno consiga seguir, menor será a chance de em uma sub-etapa ou uma decisão diferente ali de acordo com algo x que esteja sendo apresentada a ele, ele saia num cenário que não seja o cenário que você espera.</t>
  </si>
  <si>
    <t>Dificuldade em fugir das ferramentas baseadas em núvem, que acabam limitando o aluno em um cenário muito específico.</t>
  </si>
  <si>
    <t>a recomendação é abusar do uso de soluções online, que facilitam esse processo[...]</t>
  </si>
  <si>
    <t>Usar o máximo de soluções online possível.</t>
  </si>
  <si>
    <t>[...]ter um mecanismo único e uma etapa inicial, etapa final na qual se queira chegar dentro desse teste facilita muito na hora de você ensinar, na hora de você, principalmente pra por exemplos.</t>
  </si>
  <si>
    <t>Deixar claro ao aluno um exemplo de etapa inicial e de etapa final.</t>
  </si>
  <si>
    <t>[...] abusar do uso das camadas gratuitas, hoje a maioria dessas ferramentas possuem camadas gratuitas, no caso de provedores Cloud [...] porque consegue colocar o aluno num contexto muito prático [...] traz uma imersão muito melhor na aula [...] Então, a minha recomendação é abusar de ferramentas que estão no mercado, sempre olhando muito para o mercado.</t>
  </si>
  <si>
    <t>Aproveitar bastante as ferramentas gratuitas e que estão disponíveis no mercado e para o mercado.</t>
  </si>
  <si>
    <t xml:space="preserve">[...] em muitos casos a avaliação ainda é baseada no modelo tradicional de prova ou em algum processo de avaliação fixo, com uma relação X de questões ou algo similar. </t>
  </si>
  <si>
    <t>Dificuldade em fugir das avaliações baseadas em um modelo tradicional de prova.</t>
  </si>
  <si>
    <t xml:space="preserve"> nós adotamos muito a avaliação baseada em projetos [...] a avaliação desse projeto coloca um aluno no contexto dele testar na prática ou simular, que seja na prática, um pouco do que ele viu durante as aulas.</t>
  </si>
  <si>
    <t>Preferir avaliação baseada em projetos.</t>
  </si>
  <si>
    <t>[...] é muito interessante sempre focar na cultura, as ferramentas são legais, atraem um aluno, criam um cenário prático [...] mas pra nós que estamos nessa missão de ensinar DevOps, propagar isso como uma cultura é essencial.</t>
  </si>
  <si>
    <t>Da ênfase à importância da cultura DevOps e propagá-la.</t>
  </si>
  <si>
    <t>O primeiro desafio é explicar para os alunos que a ideia de você explicar sobre DevOps não é entregar uma fórmula pronta, e sim explicar como a metodologia pode ser aplicada, com exemplos e, inclusive, ferramentas. [...] os alunos chegam com a ideia de que eles vão aprender um set de ferramentas X pra entregar no dia a dia deles e ferramenta é só um pedaço pequeno dentro do processo de entrega, que é mais cultural e é mais pessoal do que ferramental.</t>
  </si>
  <si>
    <t>Dificuldade em explicar aos alunos que DevOps é algo não apenas ferramental.</t>
  </si>
  <si>
    <t>O segundo desafio são pessoas com experiências distintas [...] você tem turmas que são mistas, assim num ponto do curso onde você fala sobre uma linguagem de programação específica para dar um exemplo. Alguns têm mais familiaridade do que outros. [...] Então, saber lidar com essas diferenças para deixar o curso agradável a todos e confortável para todos, esse é um grande desafio. </t>
  </si>
  <si>
    <t>Dificuldade em saber lidar com turmas de alunos que possuem experiências bastante distintas.</t>
  </si>
  <si>
    <t>Como as pessoas ficam remotas, basicamente, pros treinamentos, são vários fatores que influenciam a didática. O ambiente da casa[...] lidar com essas diferenças dentro da pandemia é importante.</t>
  </si>
  <si>
    <t>Dificuldade em lidar com diferenças de ambientes de aula de cada aluno durante o ensino remoto.</t>
  </si>
  <si>
    <t>também as diferenças das da infraestrutura que a pessoa tem pra fazer o curso. Uma máquina um pouco mais nova, mais antiga, pré-configurada pro trabalho</t>
  </si>
  <si>
    <t>Dificuldade em lidar com as diferenças de recursos disponíveis de cada aluno.</t>
  </si>
  <si>
    <t>eu não vou entregar uma receita pronta, eu vou usar ferramentas diversas. metodologias diversas que também são ferramentas para que elas tentem aplicar dentro do processo deles</t>
  </si>
  <si>
    <t>Usar ferramentas diversas.</t>
  </si>
  <si>
    <t>se for um caso onde eu não tenho acesso a quase nada, eu preciso ir pra uma Cloud pra fazer aula com o aluno, mesmo que não envolva dentro do curso, em si. Eu preciso fazer tudo remoto. Ou se for uma turma mista, a gente previamente envia aos alunos um documento que mostra, né? Quais são os pré-requisitos para que ele faça o curso</t>
  </si>
  <si>
    <t>No ensino remoto, recomenda-se se aproveitar de ambiente de núvem.</t>
  </si>
  <si>
    <t>Então a gente quebra os documentos de infraestrutura de propósito para poder fazer o processo de Kaisen dentro do Lean para unificar a documentação para que o aluno entenda a dificuldade que ele enfrentou e a dificuldade que ele vai enfrentar no dia a dia.</t>
  </si>
  <si>
    <t>Simular problemas reais que o aluno provavelmente enfrentará no seu dia a dia.</t>
  </si>
  <si>
    <t xml:space="preserve"> usar os bloqueios de infraestrutura para você alimentar o seu curso, como didática. Você fala, olha, lembra o bloqueio que a gente teve? [...]A gente analisa, roda alguns frameworks de análise de processo, porque ferramenta a gente pode falar de qualquer linguagem, mas usar isso como experiência. </t>
  </si>
  <si>
    <t>Utilizar as prováveis dificuldades com infraestrutura a favor do aprendizado do aluno.</t>
  </si>
  <si>
    <t>porque o aluno tá com um problema que é muito específico dele e perde um pouco a didática. Então, saber limitar também, trabalhar, depois, com o aluno, falar, olha, a gente vai conversar com mais calma, por conta dessa situação sua ser muito específica.</t>
  </si>
  <si>
    <t>Ter um bom diálogo com o aluno para resolver problemas muito específicos que podem ocorrer.</t>
  </si>
  <si>
    <t>Eu uso o Trello ou o Notion, eu tô preferindo o Notion apesar de trabalhar para empresa do Trello eu prefiro o Notion</t>
  </si>
  <si>
    <t>Utilizar ferramentas como o Trello e o Notion.</t>
  </si>
  <si>
    <t>Eu acho que tem que ter duas ferramentas sempre [...]a de stream que seriam o zoom, Google Meet, qualquer ferramenta que faça isso, o Webex não sei, depende da empresa e uma ferramenta de tracking de tarefas.</t>
  </si>
  <si>
    <t>Para o ensino remoto, ter sempre: uma ferramenta de stream e uma ferramenta para acompanhar tarefas.</t>
  </si>
  <si>
    <t>As ferramentas dependem muito de muita turma[...]</t>
  </si>
  <si>
    <t>Identificar quais as ferramentas mais apropriadas para cada turma.</t>
  </si>
  <si>
    <t xml:space="preserve">[...] se adaptar ao ambiente e tentar, a cada vinte a trinta minutos, interagir com o aluno, para que ele faça algo para manter a atenção dele. </t>
  </si>
  <si>
    <t>Interagir com o aluno para mantê-lo atento.</t>
  </si>
  <si>
    <t xml:space="preserve">[...] ter uma boa configuração de som pro que o aluno te ouça bem, sempre com a câmera aberta, mesmo que o aluno não abre, porque ele não pode, mas que ele te veja, que ele sinta essa aproximação dentro do possível. </t>
  </si>
  <si>
    <t>Para o ensino remoto é importante ter um equipamento de áudio e vídeo adequado, assim como fazer o uso correto e frequênte.</t>
  </si>
  <si>
    <t>[...]tentar evitar deixar o aluno dependente daquela stack que você está ensinando. Então, se você vai explicar Jenkins, tire meia hora pra explicar o pipeline em outra ferramenta, pra ele ver que aquilo é possível. Pra que ele não saia com a receita pronta.</t>
  </si>
  <si>
    <t>Dar liberdade ao aluno e mostrar que existem várias formas e ferramentas para fazer a tarefa.</t>
  </si>
  <si>
    <t xml:space="preserve">você conseguir olhar pra todos os alunos é muito difícil, eu entendo porque alguns não podem abrir a câmera. Não tem capacidade ou tecnológica, ou estrutural de abrir, conversar com você. A comunicação é quebrada [...]  você não consegue olhar pro aluno e perceber como ele tá reagindo aquele conteúdo. Não que você se adapte só pra um aluno, mas você não tem a percepção pessoal da dúvida [...] a falta de proficiência de alguns alunos, em alguns critérios disso, acaba dificultando essa prática. </t>
  </si>
  <si>
    <t>Dificuldade em acompanhar e mater contato com todos os aluno de forma efetiva.</t>
  </si>
  <si>
    <t xml:space="preserve">o aluno entender [...] que não é ferramental o curso inteiro [...] a gente não vai usar melhores stacks do mercado [...] a gente sai do zero, entregar em Kubernetes, porque não dá tempo  </t>
  </si>
  <si>
    <t>Dificuldade em fazer o aluno compreender que o curso vai além do ferramental.</t>
  </si>
  <si>
    <t>heterogeneidade da turma[...]tem gente que é muito proficiente em desenvolvimento e não tem nem ideia da parte de servidor [...] já tive pessoas, exatamente, do outro espectro [...] não tem tanta proficiência na parte de programação, de código. [...] é muito difícil pra gente agradar a todos [...] quando você prepara uma aula, você prepara que um certo público em mente [...] É muito difícil fazer o de uma aula para gente em aspectos tão distintos, né? Sinto que uma ou outra sairia frustrado da experiência.</t>
  </si>
  <si>
    <t>Dificuldade em preparar aula para turmas com alunos em níveis de experiência muito diferentes e em áreas diversas.</t>
  </si>
  <si>
    <t>eu não consigo enxergar uma disciplina, um ensino de DevOps que não seja hands-on [...] Que não seja botando a mão na massa e fazendo as pessoas pelo menos exercitarem as ferramentas.</t>
  </si>
  <si>
    <t>Disciplinas DevOps devem ser, principalmente, práticas.</t>
  </si>
  <si>
    <t xml:space="preserve">O ponto é tentar exercitar o máximo de ferramentas possíveis para prover para todo mundo  [...] uma gama de coisas que você pode aplicar no seu dia a dia quando você vê a necessidade. </t>
  </si>
  <si>
    <t>Exercitar o máximo de ferramentas possível.</t>
  </si>
  <si>
    <t xml:space="preserve">[...] acabou que muita gente fez em [...] diferentes ambientes [...] pra gente, professor, muitas vezes a gente não tem proficiência em todos esses  </t>
  </si>
  <si>
    <t>Difuculdade em dar trabalhar e dar suporte a diversos ambientes ao mesmo tempo.</t>
  </si>
  <si>
    <t xml:space="preserve">O máximo que a gente pode fazer é tentar passar os conceitos [...]  </t>
  </si>
  <si>
    <t>Passar os conceitos corretamente.</t>
  </si>
  <si>
    <t xml:space="preserve"> [...]  E quando a pessoa tá com uma dúvida muito grande assim, você fala, rapaz, tenta me explicar aí como é que é essa tecnologia aí que tu tá usando[...]</t>
  </si>
  <si>
    <t>você ter uma disciplina [...] que ela seja mais integrada, uma disciplina mais coesa [...] talvez faça sentido você prover o ambiente pros alunos [...] você pode usar um docker [...] que já vem tudo pronto. [...] já entrega isso tudo pronto pro pessoal [...] numa semana já vai ter o seu ambiente inteiro montado.</t>
  </si>
  <si>
    <t>Ter uma disciplina integrada onde o aluno recebe o ambiente montado.</t>
  </si>
  <si>
    <t>[...]vai ter dificuldade pra fazer isso e tal. E o fato de que, talvez, os alunos não aprendam tanto se você já deu isso tudo pronto.</t>
  </si>
  <si>
    <t>Entregar o ambiente pronto pode gerar uma lacuna na aprendizagem do aluno.</t>
  </si>
  <si>
    <t xml:space="preserve">reconhecer o que é relevante para ser abordado em sala de aula [...] tem muita tecnologia no mercado. [...] o desafio é saber o que eu vou abordar [...]você não pode abordar tudo. </t>
  </si>
  <si>
    <t>Dificuldade em conseguir decidir quais tecnologias ensinar, visto a grande variedade disponível no mercado.</t>
  </si>
  <si>
    <t xml:space="preserve">o Jenkins vamos dizer assim, ele, apesar dele ser desafiador, porque ele não é a coisa mais fácil do mundo de configurar. Essas dores, eu também acho importante para a galera [...] o Jenkins você não paga nada. </t>
  </si>
  <si>
    <t>Fazer uso do Jenkins.</t>
  </si>
  <si>
    <t>[...] pegar ferramentas que estão minimamente relevantes e de forma que você consiga apresentar os diferentes custo-benefícios de cada uma.</t>
  </si>
  <si>
    <t>Selecionar ferramentas relevantes e que apresente bom custo-benefício.</t>
  </si>
  <si>
    <t>Eu sempre passo algum tipo de avaliação escrita dos conceitos básicos [...] eu gosto que os alunos expressem nas suas próprias palavras o que eles entenderam [...] principalmente da parte cultural</t>
  </si>
  <si>
    <t>Passar avaliações escritas para verificar o aprendizado dos conceitos básicos.</t>
  </si>
  <si>
    <t>Do ponto de vista prático, eu simplesmente passo exercício.</t>
  </si>
  <si>
    <t>Passar exercícios para exercitar o aspecto prático.</t>
  </si>
  <si>
    <t>dar essa visão de que Devops não é só ferramenta [...] tá muito alinhado com o movimento ágil[...]</t>
  </si>
  <si>
    <t>Dificuldade em conseguir transmitir ao aluno que DevOps não envolve apenas a parte ferramental.</t>
  </si>
  <si>
    <t>Como fazer aplicar essas coisas do Devops nas empresas [...] existe uma grande dificuldade que é cultural. As empresas sempre se organizaram dessa maneira, de separar movimento de infra, de não ter colaboração de não ter comunicação e tal e isso acaba gerando atritos, principalmente quando surgem problemas. [...] ir mudando um pouquinho a cultura da empresa, o processo, o jeito que as pessoas se organizam, se reúnem, e tal, tentando tirar ali as barreiras, até que seja natural e ambos os times trabalhem juntos [...] com um único objetivo, que é desenvolver, entregar software que funciona e resolver problemas o mais rápido possível.</t>
  </si>
  <si>
    <t>Dificuldade em quebrar a resistêcia à cultura DevOps e seus princípios.</t>
  </si>
  <si>
    <t>Tentar mostrar que devops não é só ferramentas, tentar fazer as pessoas entenderem isso e tentar mudar a durante a aula, assim, tentar da melhor maneira possível fazer com que as pessoas percebam, né? Que elas vão acabar tendo que ir mudando a cultura ali do ambiente, né? Os processos, a maneira que elas se organizam.</t>
  </si>
  <si>
    <t>Dificuldade em quebrar a perspectiva do aluno de que DevOps é apenas ferramental.</t>
  </si>
  <si>
    <t>Tentar contextualizar também isso é bem difícil</t>
  </si>
  <si>
    <t>Dificuldade em contextualizar a cultura DevOps.</t>
  </si>
  <si>
    <t xml:space="preserve">a recomendação seria isso: propor alguma maneira de ter um desafio, um exercício, um projeto em que seja dividido ali as pessoas que fazem parte da turma e que elas tenham que colaborar, que não tenha como não ter colaboração, não será algo individual. Então, e aí avaliar se elas estão colaborando, se estão indo pro caminho certo. </t>
  </si>
  <si>
    <t>Promover o trabalho em equipe, dividindo a turma em grupos, onde um dos requisitos a serem avaliados será justamente o próprio trabalho em equipe.</t>
  </si>
  <si>
    <t>Uma coisa importante pra mim, que ficou claro durante os meus estudos, é que eu tinha que mostrar de algum jeito o histórico,  a motivação, então eu quis encaixar de qualquer jeito ali no currículo já no começo, mostrando a história do desenvolvimento de software [...] encaixar esses tópicos, assim, mais históricos, que não são bem, não são técnicos, né? Mas de uma maneira que não seja muito maçante também [...] tem que encaixar isso com a parte técnica [...] Com conceitos de  integração contínua, entrega contínua, deploy contínuo, ferramentas, automatização, enfim.</t>
  </si>
  <si>
    <t>De alguma forma contextualizar os aspectos histórios e definição dos conceitos mais importantes.</t>
  </si>
  <si>
    <t>conseguir conceber um ciclo dessa jornada de ensino e aprendizagem baseado em missões, em atividades práticas e que essas atividades práticas tivessem toda uma construção de dificuldade incremental. Então, trabalhar tanto os aspectos teóricos necessários para entendimento do porquê das coisas em DevOps são em em SRE como um todo, aliado a atividades práticas para experimentação das teorias por meio das diversas ferramentas possíveis, aliado também aos processos de avaliação, que a gente está falando de disciplina, você tem que ter isso.</t>
  </si>
  <si>
    <t>Dificuldade em conceber e avaliar o ensino de modo incremental.</t>
  </si>
  <si>
    <t xml:space="preserve"> construir toda essa jornada com base em atividades ou missões práticas, incrementais e que estejam todas correlacionadas para que as lições aprendidas durante essas atividades práticas e revisitação da teoria do conhecimento, possam desaguar num projeto que envolve um conjunto de tomadas de decisão, que também vai além dos assuntos teoricamente abordados na sala</t>
  </si>
  <si>
    <t>Construir uma jornada de ensino baseada em atividades e missões, sempre aliando as atividades práticas ao conhecimento teórico.</t>
  </si>
  <si>
    <t>colocar um Delta de tomada de decisão que compete ao time, né? Aos alunos e que obviamente vai avaliar o entendimento deles perante todas as discussões do semestre.</t>
  </si>
  <si>
    <t>Promover e avaliar tomadas de decisões independentes dos alunos no processo de aprendizagem.</t>
  </si>
  <si>
    <t>Então, toda essa rastreabilidade do que foi feito para com o que eles vão fazer, foi a parte bem difícil [...] Então, não dá pra você pensar em fazer um negócio só teórico, você tem que ter prática, não dá pra ser só simplesmente exercícios práticos, tem que ter toda uma jornada, uma sequência de raciocínio bem estabelecida. Isso foi bem complicado de conseguir atingir esse tópico.</t>
  </si>
  <si>
    <t>Dificuldade em avaliar a complexa jornada de aprendizado dos alunos que envolvem muitas etapas distintas: teoria, prática, aplicação da teoria no processo prático, tomada de decisões, etc.</t>
  </si>
  <si>
    <t xml:space="preserve"> Isso é um perrengue, porque o que acontece: existem diversas ferramentas e a gente sempre tem que fechar em algumas para o caráter didático da experimentação.  [...] não sobra tempo pra isso de, por exemplo, estruturar ambientes complexos [...]  eu sei que não é realidade no mercado, muito pouco são as empresas que eu vi, eu tive contato que montava o seu ambiente do zero na unha, num conjunto de servidores internos.</t>
  </si>
  <si>
    <t>Falta de tempo para se estruturar ambientes mais complexos com os alunos.</t>
  </si>
  <si>
    <t>Fazer prova, escrita, aberta assim eu não gosto, eu não gosto do modelo de prova como avaliação, eu não acho que é legal, prefiro trabalhar com coisas mais práticas.</t>
  </si>
  <si>
    <t>Preferir avaliações práticas.</t>
  </si>
  <si>
    <t xml:space="preserve">Algumas configurações que você pode ter pra gente ajudar, tipo, ah, você tem a equipe de monitores, por exemplo, isso te permite seguir para uma linha prática mais legal, porque tu vai ter mais braço pra te ajudar, avaliar e tudo mais. Se você não tem, ele fica mais pesado, fica mais difícil, você sozinho avaliar. Pega uma turma com quarenta alunos, mesmo que você divida em times, é muita coisa pra você avaliar. 
</t>
  </si>
  <si>
    <t>Se possível, ter uma equipe de monitores para auxiliar no processo de avaliação.</t>
  </si>
  <si>
    <t>as dificuldades são mais relacionadas ao processo em si de avaliação do que necessariamente os tópicos</t>
  </si>
  <si>
    <t>O processo de avaliação em si é desafiador, independentemente dos tópicos.</t>
  </si>
  <si>
    <t>você propõe um desafio prático para resolução de um problema, eu acho que os alunos acabam aprendendo mais.</t>
  </si>
  <si>
    <t>Propor desafios práticos.</t>
  </si>
  <si>
    <t>Porque parte do pressuposto em todas as minhas disciplinas isso, né, que é o conhecimento é uma obra aberta, né? Eu não sou o detentor de todo conhecimento [...] Então eles aprenderem a fazer essa curadoria do que que é relevante, importante ou não, faz parte dos meus processos de ensino e aprendizado.</t>
  </si>
  <si>
    <t>Instigar o pensamento crítico dos alunos e incentivar a busca autodidata por informações extraclasse.</t>
  </si>
  <si>
    <t>o desafio mesmo foi quando eu comecei a fazer, que não tinha nenhuma. Aí, você construir do zero é mais difícil, não tem o baseline. [...] [...] esses tipos de desafios, eles são mais relacionados à natureza do assunto, não ao objeto, ou seja: qual tipo de conteúdo, como você vai conduzir esse curso, como você vai querer conduzir a disciplina.</t>
  </si>
  <si>
    <r>
      <rPr>
        <rFont val="Arial"/>
        <color theme="1"/>
        <sz val="12.0"/>
      </rPr>
      <t xml:space="preserve">Dificuldade em montar uma disciplina sem uma </t>
    </r>
    <r>
      <rPr>
        <rFont val="Arial"/>
        <i/>
        <color theme="1"/>
        <sz val="12.0"/>
      </rPr>
      <t>baseline</t>
    </r>
    <r>
      <rPr>
        <rFont val="Arial"/>
        <color theme="1"/>
        <sz val="12.0"/>
      </rPr>
      <t>.</t>
    </r>
  </si>
  <si>
    <t>Culture is difficult to teach</t>
  </si>
  <si>
    <t xml:space="preserve">one of the examples I give to my students is I say, you know, I took three years of Spanish in high school and I don't speak a word of Spanish, but I bet if I spent a summer in Spain, I would come back speaking, fluent Spanish. So I tell them: "this class is your summer in Spain", right? We are going to live DevOps. We're going to experience DevOps. And that's the only way you can properly teach it. </t>
  </si>
  <si>
    <t>Live DevOps is the only way they can learn it</t>
  </si>
  <si>
    <t>And then I tell them, I am not going to grade you on what you submit. I'm going to grade you on how you got there because getting there is not the point. It's the journey, right? That's the point. It's how you got there. And so, um, I teach my class in sprints. We do five, two weeks sprints in a 15-week course. And I give them the requirements for each sprint, what I need them to build. And I teach them how to do agile planning. And then they go build an agile plan.</t>
  </si>
  <si>
    <t>Teach the class in sprints</t>
  </si>
  <si>
    <t xml:space="preserve"> So there's a fine line between letting them run fast and fall down and get up. I teach them that every failure is a learning opportunity. If you fail and you learn something, you get credit. It's not a failure because you've learned something, we're here to learn. We're not here to recite things from the book we're here to learn.</t>
  </si>
  <si>
    <t>Grade students based on their learning even if they make mistakes</t>
  </si>
  <si>
    <t>Those are the ones you remember, right? Not just read, right? If you learn in the abstract, you'll soon forget it. But if you learn in context, then you'll remember it because you understood why you did it. So I try to teach them just enough to get them going.</t>
  </si>
  <si>
    <t>Teach just enough to get them going so they can learn in the right context</t>
  </si>
  <si>
    <t>So I go over the lessons again and again, and deeper and deeper and deeper. And I teach them how to work as a DevOps team. And we create a slack channel. We actually slack workspace, and I create a channel for each one of the teams.</t>
  </si>
  <si>
    <t>Teach how to work in teams, creating a channel foir each team so they can collaborate</t>
  </si>
  <si>
    <t>They have 24/7 access to me. They can ping me at any time on slack. Send me a message, unless it's the middle of the night when I'm sleeping and I don't sleep much, uh, you know, I'll answer them and I'll answer their question. [...] We're constantly exploring constantly doing things. And so I want them to know that, there are no office hours, like every hour is an office hour. You have a question, ask me the question in the moment, right? Because that's when the answer is important to you</t>
  </si>
  <si>
    <t>Let the students have 24/7 access to you, so you can answer their questions exactly when they really need</t>
  </si>
  <si>
    <t xml:space="preserve"> I like to make them feel a little bit of pain before I give them the solution. So I will have them to run their test cases</t>
  </si>
  <si>
    <t>Don`t give the solution right away, let thm reach it first for themselves</t>
  </si>
  <si>
    <t>You need to sit together and experience because if you can't work as a team, you're not gonna make it right out in industry because we want team players. I don't want heroes. I don't want people who saved the day. I want people who mentor each other.</t>
  </si>
  <si>
    <t>Teaching how to students mentor each other is one of the most important things and must be a priority</t>
  </si>
  <si>
    <t>one of the challenges is how do you teach people from these different backgrounds [...]  there is so much technology that comes together in DevOps, that the challenge is how do you get everyone up to speed on an even right? So that we can all move forward together and learn together. So, so that's a big challenge.</t>
  </si>
  <si>
    <t>It`s hard to teach people with different backgrounds</t>
  </si>
  <si>
    <t>The other big challenge is: technology. People come with Macs, people come with windows, people come with Linux. [...] So that's the other challenge is people coming in with different technology and then how do you teach them the same thing without saying: "oh, the command in windows is this and the command on a Mac is that"</t>
  </si>
  <si>
    <t>It`s hard to deal with many options of OSs</t>
  </si>
  <si>
    <t>so I don't care if you using windows or using Mac or whatever you're using. We're all going to learn a bunch of Linux and we're going to deploy all our stuff, using a bunch of it and use all the tools in a bunch of.</t>
  </si>
  <si>
    <t>Use Linux anyway</t>
  </si>
  <si>
    <t>I overcome by giving them a consistent development environment to, uh, to develop in throughout the class.</t>
  </si>
  <si>
    <t>Give the students a consistent development environment</t>
  </si>
  <si>
    <t>So the challenge for me is that the cloud is constantly evolving. And so every semester what I try to do in my class, in my labs, I have snapshots of screenshots and circles and arrows and, you know, click on this and move there. Um, and that changes constantly</t>
  </si>
  <si>
    <t xml:space="preserve">The cloud and cloud interfaces are constantly changing and deal with it is challenging </t>
  </si>
  <si>
    <t xml:space="preserve">So that's a lot of, uh, preparation then of course, as I said, you know, new technologies, like when Kubernetes came around, you know, you have to add Kubernetes to the class, constantly adding new technologies to the class move. </t>
  </si>
  <si>
    <t>Keep up with new technologies is challenging</t>
  </si>
  <si>
    <t>my biggest challenge is that my course should be two semesters because it's just too much stuff to fit in one semester. [...] the challenge there is I had to put together a curriculum that had, um, a little bit about everything. [...] So it's challenging fitting all that stuff into one semester.</t>
  </si>
  <si>
    <t>DevOps has too much contents and it's hard to fit it in a semester</t>
  </si>
  <si>
    <t>the big challenge for me right, is, uh, is keeping up with the technology [...] so it's just challenging to keep up with all the new technology that's out there in DevOps.</t>
  </si>
  <si>
    <t>They have no real experience on operations and simply standing up infrastructure in the cloud is not operations, right? It's an aspect of operations. It's important piece of operations, but it's not everything you don't necessarily have people with the expertise in network design capacity plan, security, identity management, all of these other things that factor into the operational side of the house, making sure you can meet your uptime requirements</t>
  </si>
  <si>
    <t xml:space="preserve">It`s challeging to teach real opperations </t>
  </si>
  <si>
    <t>-</t>
  </si>
  <si>
    <t>differences in people's environments, their hardware, for example, every term, you know, if I want people to do something locally with, let's say, setting up virtual machines or containers or, or whatever, there's always some buddy who has some strange hardware configuration that causes problems.</t>
  </si>
  <si>
    <t xml:space="preserve">It's hard to deal with hardware differences </t>
  </si>
  <si>
    <t xml:space="preserve">recommendation is we just get them off their local machines and get them working off cloud servers or something like that. </t>
  </si>
  <si>
    <t>Work with cloud servers</t>
  </si>
  <si>
    <t xml:space="preserve"> And so I may break out a tool like flyway to demonstrate how even databases are not necessarily exempt from being able to apply devops principles, including, you know, database infrastructure is covered and, and that sort of thing. So I cannot possibly get through everything.</t>
  </si>
  <si>
    <t>Can not go through every tool</t>
  </si>
  <si>
    <t xml:space="preserve"> I'm having conversations with the university about trying to take the devops course and essentially converting it to a three course sequence one for agile, one for kind of the dev part of devops and one for the ops part of devops, because in though in the ops part, and this is the stuff I typically don't have as much time for simply because I know most of the students are coming from the software development side of the house.
</t>
  </si>
  <si>
    <t>Do not have enough time to cover dev and ops of DevOpd</t>
  </si>
  <si>
    <t xml:space="preserve">I'm trying to tie the application of the devops principles and techniques and technologies, and to, and to link that together with agile approaches, for example. </t>
  </si>
  <si>
    <t>Tie application of DevOps principles, techniques and technologies</t>
  </si>
  <si>
    <t>Use an incremental models with springs</t>
  </si>
  <si>
    <t xml:space="preserve">There's always double checking the technology, making sure that if you've got any automation in your class, it still works after all of the API changes </t>
  </si>
  <si>
    <t>Double check the technology you're using</t>
  </si>
  <si>
    <t xml:space="preserve"> So being a little bit more forgiving, a lot of the tools that we're using are brand new. For many people, getting them all to work together can be particularly challenging. And so making it a little less stressful, uh, can be helpful.</t>
  </si>
  <si>
    <t xml:space="preserve">Be a little bit more forgivable, understanding that for some people getting all the brand new technologies to work together can be really hard, so make it less stressful </t>
  </si>
  <si>
    <t>There's at the end of the day, our companies expect us to get stuff done and no one's going to provide us an interim solution. In the meantime, um, I tend not to get quite as hyper-focused on right versus wrong answers.</t>
  </si>
  <si>
    <t>Do not get quite as hyper-focused on right versus wrong answers</t>
  </si>
  <si>
    <t xml:space="preserve">The challenge of course, is newer students obviously have more than enough to worry about just getting code wrong and compile. Uh, but that's, that's the reality, unfortunately, is the code just doesn't run a compile on a laptop, right? It runs out in production and it's serving real people. And in this day and age, there is, there is stuff that goes with that. And the more folks understand, at least some of the sooner, the better I hope the software will be.
</t>
  </si>
  <si>
    <t>The student's available hardware limiting their studies</t>
  </si>
  <si>
    <t>So we built a curriculum in just very innovative way, the two classes together, a single project, a single teaching team, but we evaluate on two angles.</t>
  </si>
  <si>
    <t>Use a single project for two classes that are given together</t>
  </si>
  <si>
    <t>the challenge is often that you need a lot of machines interconnected, um, with visibility on each other that they can get to. And that's hard in a, in a, in a classroom environment this year I had 78 students. There was something like 17 groups.</t>
  </si>
  <si>
    <t>It's challenging to interconnect too many machines with visibility to each other</t>
  </si>
  <si>
    <t>what I ended up doing was to give each group a big virtual machine. And on that machine, they run three or four Docker images. Uh, one with Artifactory, one with Jenkins, one with except first laptop. And that's barely, barely sufficient.</t>
  </si>
  <si>
    <t xml:space="preserve">Use virtual machines and Docker </t>
  </si>
  <si>
    <t xml:space="preserve"> Uh, so that's a practical challenge that when you want to put it in place, and as a teacher, you want to be able to log into all of those machines to see what they're doing. </t>
  </si>
  <si>
    <t>It's hard to supervise students' work when you use a lot of virtual machines</t>
  </si>
  <si>
    <t xml:space="preserve"> all of those challenges are basically how do you rebuild an enterprise environment into a university environment that is much more restrictive and doesn't have enough machines for them. Usually that's a real challenge.
</t>
  </si>
  <si>
    <t>It's challenging to do rebuild an enterprise environment into a 
 university environment that is more restrictive  and doesn't have enough machines for everyone</t>
  </si>
  <si>
    <t xml:space="preserve">The thing I've done to try to avoid a little bit of the mess is I want to go gradual. I want to be gradual in the class. So first I teach compilation and testing. Then I teach continuous integration. team A is going to build one piece team B is going to build another piece that depends upon what team is built. </t>
  </si>
  <si>
    <t>Teach DevelOps giving the content gradually, not give everything right away so easily</t>
  </si>
  <si>
    <t xml:space="preserve">We have some students on Mac, some on Linux, some on windows, some have, um, computers that are led by the university. They came up to class with computers, with family version of windows that cannot run Docker because there is no hypervisor in it.
</t>
  </si>
  <si>
    <t>Different types of OSs students have can difficult the flow of environment setup</t>
  </si>
  <si>
    <t>The challenge is that's a little bit, what I was saying at the beginning is that when you tell them that they're going to get their hands dirty and things that work one day will not work the other day, they start laughing. They don't take it seriously.</t>
  </si>
  <si>
    <t>Students don't take seriously how hard the work might get</t>
  </si>
  <si>
    <t xml:space="preserve">So one of the challenges regarding the culture, if you want, is that when you tell them that initially they don't believe it. And only when they start doing it, they do believe it. </t>
  </si>
  <si>
    <t>Students tend to see things failing to believe why the concepts acre so important</t>
  </si>
  <si>
    <t xml:space="preserve">That's why we build a class where we have a ratio of about one hour of classroom concept teaching on the whiteboard or something at three hours where they actually type on the keyboard of practical session. I think that's important. Otherwise they don't see it. </t>
  </si>
  <si>
    <t>Divide the class into hours for concepts and practical sessions</t>
  </si>
  <si>
    <t xml:space="preserve">Go gradually. Um, so tha t,that was part of my strategy. The other thing is I've built a few, what I called a, um, whiteboard free session. So I go something like every week we have half a day, one hour of, uh, formal teaching. And then two hours exercise and we do that for like three weeks in a row. [...] So I do like three classrooms, one free session inspired by what they fail on and I continue.
</t>
  </si>
  <si>
    <t>Build whiteboard free sessions inspired by what students have failed and the two hours exercise</t>
  </si>
  <si>
    <t xml:space="preserve">They have to show the scripts. So we are convinced of what they've developed. We also asked them initially, like the second week of so very early to build a report, describing the intent for the architecture, for the componentization of the code and how they intended to build and test it very early.
</t>
  </si>
  <si>
    <t>Ask students for earlier reports describing the intended architecture, componentization of code, and the intended tests</t>
  </si>
  <si>
    <t>So for the assessment, um, it's a bit painful.</t>
  </si>
  <si>
    <t>Assesment it's a long and hard process</t>
  </si>
  <si>
    <t>It's an option that we give them the year before too preparing them.</t>
  </si>
  <si>
    <t>Prepare students with previous courses</t>
  </si>
  <si>
    <t xml:space="preserve">Some of them do have a lot of programming and are fairly mature, but because when we recruit, they be coming from different schools, we cannot make assumption on what they know. So we're trying to work without any assumption.
</t>
  </si>
  <si>
    <t>Do not assume that students are on the same learning level, becaouse they probably are not</t>
  </si>
  <si>
    <t>We have half a day for a software architect introduction in half a day for DevOps people have one day a week or once a month.</t>
  </si>
  <si>
    <t>have half a day for a software architect introduction</t>
  </si>
  <si>
    <t>I covered it is a few lectures, like on, on DevOps and, um, which look at DevOps from a kind of generic perspective, like introducing the concept of DevOps and the challenges related to DevOps and, and, and so on. And then introducing them some of the basic tools, like for instance, so using things like continuous integration tools, like Jenkins SIM swollen. And, uh, so I tried to introduce, uh, between maybe spending about a couple of weeks doing that, like the course was about 12 weeks. And so in Zen App there, I focus more on specialized issues. So we spent some time on performance and scalability testing and things like the good testing and so on.</t>
  </si>
  <si>
    <t>Start with a generic perspective of DevOps, basic concepts, and after a few weeks start to focus on specialized issues</t>
  </si>
  <si>
    <t>We in myself, my experience with DevOps is both on the teaching side, and the companies. And in the industry side, I have created two companies and both companies use DevOps, also all the activities. So this kind of expected that they get that goes in, in the teaching also.</t>
  </si>
  <si>
    <t>It's important to present the industry side of DevOps</t>
  </si>
  <si>
    <t xml:space="preserve"> what we sit and do, but, uh, so from the lab perspective, that's interesting, but on the teaching side, as I said, like, uh, having limited material, make the teaching a little bit more difficult.</t>
  </si>
  <si>
    <t>There's limited material to teach</t>
  </si>
  <si>
    <t xml:space="preserve">d I think, you know, you can look at, uh, DevOps in industry, like in UK companies like Netflix or Google or Amazon, and so on who using DevOps, they tried to use was a type of concepts also for to do, for instance, scalability and so on. And, and, uh, but the point is how do we adapt DevOps in concept in a way where we, we are still take keeping in mind the theoretical foundation, but where make it making it interesting from an industry or practical perspective. And that's a big challenge when you are teaching 
</t>
  </si>
  <si>
    <t>It's challenging to teach how to take DevOps concepts that have theoretical foundations and make them interesting for the industry</t>
  </si>
  <si>
    <t xml:space="preserve"> So they are taking other courses. So what I do is that I, I put them by a team of four, six per group, and then we work together and, and that's good also because it may be working in a team. They learn how to work in a team. And, and, uh, and, and so team building, I think is an important concept. And when you are doing DevOps and so teaching that to students is very important. </t>
  </si>
  <si>
    <t>Make group of students so theycan learn how to work in teams</t>
  </si>
  <si>
    <t xml:space="preserve">Also making the project interesting is important because it, you can, it's very easy when you are teaching to just take a very small project, which is not very, uh, challenging in all with students.
</t>
  </si>
  <si>
    <t>The project of the class must be challenging</t>
  </si>
  <si>
    <t>This is to just make it easy. I mean, sometimes we give it a bit too flexible. So right now we use a Java and Javascript because we are targeting web application. But, uh, when we students are implementing, uh, new features, so we give them the flexibility. We say, okay, parents, if you want to implement in Python, you can do it as long as you can wrap it in, uh, integrated in the new code</t>
  </si>
  <si>
    <t>Be flexible with programming languages when needed</t>
  </si>
  <si>
    <t xml:space="preserve"> We give some kind of rough summary of what the application is supposed to do.</t>
  </si>
  <si>
    <t>Give students a rough summary of what their application are supposed to do</t>
  </si>
  <si>
    <t>in practice doing the remaining stage in the lab is very challenging because we don't have enough time because it's three months. And as I said, we, students are doing other things. So this means we are limited in what we can ask them.</t>
  </si>
  <si>
    <t>As students are doing a lot of other activities, there is a limitation of what is appropriate to ask them</t>
  </si>
  <si>
    <t xml:space="preserve">so in the course I split, but so about 80% of presentation is just a regular, uh, concepts and so on and about 20% is about concrete applications </t>
  </si>
  <si>
    <t>Divide the course into 80% of concepts and 20% of applications</t>
  </si>
  <si>
    <t xml:space="preserve">We presented as a lab project [...] So the students start initially by defining the requirements and then after they start a secondary pipeline, and then they do at least a couple of weeks iterations cycle and develop cycle. And then after they go to do performance testing to do a security testing and all those kinds of things, and for each of these deliverables, we submit something, every report. And, and, uh, so that's very easy to map because it's a very practical. </t>
  </si>
  <si>
    <t>Evaluate through a lab project</t>
  </si>
  <si>
    <t xml:space="preserve">Like, what do you teach in a DevOps course? Like, do you teach just technologies like Kubernetes and Docker? And, and I kept saying, no, this is not why I went back to university. I don't want to be just teaching techniques and tools because these will change over time.
</t>
  </si>
  <si>
    <t>Don't teach a DevOps course only focusing on tools and technologies because it changes over time</t>
  </si>
  <si>
    <t xml:space="preserve"> I was looking for books to use. And, um, you know, I started to look at the books from Jane Kim. Um, and essentially I found this DevOps handbook, which has really not written as a textbook, but it's, it covers it's, it's built around the three ways of DevOps. So the first way is the notion of flow. The second way is the notion of, um, feedback. And the third way is continual learning and experimentation. </t>
  </si>
  <si>
    <t>Take Gene Kim's books as a reference to prepare a DevOps class</t>
  </si>
  <si>
    <t>I'm always asking you the last factor. I'm always taking almost an hour to, as a student. Just give me your feedback. Like, like very openly, right? That's you should all give me a feedback again.</t>
  </si>
  <si>
    <t>Take time to hear student's feedbacks very openly and give them your feedback too</t>
  </si>
  <si>
    <t>Well, the challenge is, in my opinion, to strike this balance between concreteness, like work with technologies, because essentially DevOps is a philosophy. It's an approach, and that's very, very important. It's not just soft, right? I mean, it's always difficult to balance the soft aspect and then the more hard aspect.</t>
  </si>
  <si>
    <t>It's challenging to strike a balance between DevOps' soft aspects and hard aspects</t>
  </si>
  <si>
    <t>The, the overall context will change the process they use will have to change, to adapt, to become better, to, to stay at the top too, you know, they have to, so they have to recognize first that technologies will change, but the foundation, the fundamentals will remain,</t>
  </si>
  <si>
    <t>It's hard to make clear to students and make them understang the fact that technologies will change with time, but the fundamentals will remain</t>
  </si>
  <si>
    <t xml:space="preserve"> I built kind of a fictitious company [...] based on my experience [...]  the students work in groups of three [...]  in the first lab, they have to set up their environment [...] We bring them also to, to build, uh, two small applications that actually extract, um, data from the Kanban, uh, in GitHub using the GitHub APIs, because I want the students to one that very important aspect of DevOps is the continuous improvement. So if you want, you have to apply the same principles to the process that you're applying to your product.
</t>
  </si>
  <si>
    <t>Create a fictitious company based on experience for students to practice continuous improvement, creating applications, extracting data from Kanban</t>
  </si>
  <si>
    <t xml:space="preserve"> So they have set up their environment</t>
  </si>
  <si>
    <t>Let students setup their environment for themselves</t>
  </si>
  <si>
    <t>The second one is to, we give them an application. It's an actually an HVAC humidity, air conditioning and ventilation, um, and they don't develop the application, but they have to build the pipeline to support this existing application.</t>
  </si>
  <si>
    <t>Give students an application that they have to build the pipeline to support this existing application</t>
  </si>
  <si>
    <t xml:space="preserve">I need very solid, uh, research. It's a sorry, a lab assistance. The people responsible for the labs of course, assistants that that can actually deal with the students. So I'm lucky to have students and have good industrial experience, uh, to do that. </t>
  </si>
  <si>
    <t>Having solid lab assistance is important</t>
  </si>
  <si>
    <t>But when we touch kubernetes, for example, the students have located impression that they use, they that don't quite understand it, but I have to remind them that our goal here is not to get in depth, but I still believe that there's value in touching it. So if they get to the industry, it's not something that is completely from another space.</t>
  </si>
  <si>
    <t>Teach even some hard technologies like Kubernetes, even if not that deeply, because there is value for students having contact with these technologies, so when they face it in the industry, they will already be familiar with it</t>
  </si>
  <si>
    <t>JIRA is quite difficult to use in industry context, um, just because of the license model then. So it's, it's too complex.</t>
  </si>
  <si>
    <t>It's really complex to use Jira, a lifecycle management tool</t>
  </si>
  <si>
    <t>so I chose, um, tuleap, which is an open source that was missing in mainly DevOps in France.</t>
  </si>
  <si>
    <t>Use Tuleap for lifecycle management</t>
  </si>
  <si>
    <t xml:space="preserve">. So one of the challenge from an environment point of view is to get something that students can relate to </t>
  </si>
  <si>
    <t>It's hard to find something students can relate to, from a environment point of view</t>
  </si>
  <si>
    <t>from a tooling point of view, um, for the pipeline, we, we recommend Travis CI</t>
  </si>
  <si>
    <t>Use Travis CI for the pipeline</t>
  </si>
  <si>
    <t xml:space="preserve"> we're building tutorials as well for some aspects, because not all students, for example, have, um, experience and even in, in automated testing.</t>
  </si>
  <si>
    <t xml:space="preserve">Build tutorials about automated testing </t>
  </si>
  <si>
    <t xml:space="preserve"> Sometimes when I see translation that even two years after kind of doesn't make sense, because I still find some of these things. Uh, I just go back to the book and I know exactly the section paragraph, and I can find it and what I concluded with the students now. </t>
  </si>
  <si>
    <t>It's hard to deal with material translations</t>
  </si>
  <si>
    <t>make the students realize that the Kanban has certain information for a certain purpose. Um, if I want to analyze my process, I may extract information from the Kanban that will tell me about, you know, the time that I spent in the development phase or in the, in the review phase and things like that.</t>
  </si>
  <si>
    <t>Make the students know how to use Kanban for their specific needs</t>
  </si>
  <si>
    <t>But still this mindset of thinking of continuous improvement is so important, right? So one of the important sources of inspiration or sources for DevOps is, is the lean processes.</t>
  </si>
  <si>
    <t>It's important to emphasize continuous improvement</t>
  </si>
  <si>
    <t xml:space="preserve">So essentially DevOps is you probably saw those data, but it's the, the, the engineering discipline or the term that was most associated with the hires in LinkedIn, in, in 2018, 2019, and yet no universities have a program in DevOps, no universities, essentially very few universities have a course in DevOps.
</t>
  </si>
  <si>
    <t>It's challenging to have this synchrony between what  industry needs and what the academia provides</t>
  </si>
  <si>
    <t>DevOps doesn't equal CI/CD and DevOps doesn't equal automate the testing.</t>
  </si>
  <si>
    <t>It's hard to cover all DevOps aspects</t>
  </si>
  <si>
    <t xml:space="preserve"> so I mean, this is where the, the challenges, but I think there's so much to do in research there. And essentially if you look, I think we will be the first, uh, researcher in devops. Of course, some people do things that are much, much relevant, but it's just to put the name, make a thing more interesting.</t>
  </si>
  <si>
    <t>It's hard to find interesting DevOps research</t>
  </si>
  <si>
    <t xml:space="preserve"> So part one is the three ways, just give you an overview of the, each of the three way. And then you have one part essentially for each of the three ways. And I think that the first two parts of the book you can find online, but, but not, not as a, someone who puts it in PDF, but from the publisher, from, from revolution, publisher and official version. So you can read it from the way.</t>
  </si>
  <si>
    <t>Students tend to get free and not full versions of books</t>
  </si>
  <si>
    <t xml:space="preserve">So people need to feel comfortable sharing, if they've made a mistake or not thinking that they're gonna have their headquarters. Right. Um, so when talking about that, if students have never worked in the context where, you know, people are blaming each other and stuff, it's difficult to understand I, to, to be concrete. And this is so crucial. </t>
  </si>
  <si>
    <t>Create an environment that students feel comfortable with sharing about their mistakes and learn how with their teammates</t>
  </si>
  <si>
    <t xml:space="preserve">So that, I think it's one of our job to, to, to communicate with the student that it's not about the buzzword, this is something extremely serious. </t>
  </si>
  <si>
    <t>It's important to communicate with students</t>
  </si>
  <si>
    <t>students have to choose some topic and say, okay, we want to do a presentation on this topic. And that topic can be anything related to DevOps.</t>
  </si>
  <si>
    <t>Make students prepare a presentation about topics related to DevOps</t>
  </si>
  <si>
    <t xml:space="preserve">we can have people, uh, there, there are, uh, there are everywhere that we can invite and, uh, let the students know what is going on in practice, not just some, uh, theoretical, uh, problem. </t>
  </si>
  <si>
    <t>Invite people to show students what's going on in practice, not only intheoretical problems</t>
  </si>
  <si>
    <t xml:space="preserve">just find whatever they want to find and work on whatever they want to work on and let them be free since that was our goal in this course, uh, we let them choose, um, novel technologies, the technologies and the tools that are being used, uh, today and the tools that are being developed today. </t>
  </si>
  <si>
    <t xml:space="preserve">Let the students be free about the used tools and technologies </t>
  </si>
  <si>
    <t xml:space="preserve">and they had to also engage in a conversation with other people from other teams, uh, in the process that, uh, they were, uh, making those contributions.
</t>
  </si>
  <si>
    <t>Make students engage with thir classmates</t>
  </si>
  <si>
    <t xml:space="preserve">I would have some more, uh, time for, uh, for basics of, uh, basics of DevOps and the old technologies, and not only focus on the things that are, uh, that are very novel and very being developed right now. So, uh, because that would give students a better opportunity to, uh, understand the, uh, the other things as well.
</t>
  </si>
  <si>
    <t>Give some times for students study the basics</t>
  </si>
  <si>
    <t xml:space="preserve">Because, uh, as I said, since we invited people from the industry, and that was the only lectures that we had. Um, and the students could ask questions during the lecture, after the lectures and during the time that we had, uh, for presentations and things like that, they could ask some questions about, um, about devops and more basic questions. </t>
  </si>
  <si>
    <t>Invite people from the industry to give lectures</t>
  </si>
  <si>
    <t xml:space="preserve"> if we can have a students together working together and, um, working on the projects and developing projects together at the same time while the teachers are there and they, uh, we can, uh, see what they are doing, that would be better. And I think we will, uh, hopefully do this, uh, next year when grown-up situation gets better.
</t>
  </si>
  <si>
    <t>Promote a moment to students practice while people of industry are around to help them</t>
  </si>
  <si>
    <t xml:space="preserve"> let's say political challenge that you have to convince in a way that DevOps is not purely technical and that it's must be part of an academy curriculum.</t>
  </si>
  <si>
    <t>Convince people that DevOps is not purely technical and it must be part of an academy curriculum</t>
  </si>
  <si>
    <t xml:space="preserve"> find a way to teach DevOps inside the program</t>
  </si>
  <si>
    <t>Find a way to teach DevOps inside the program</t>
  </si>
  <si>
    <t xml:space="preserve"> the second point that the second challenge would be [...] skills.  I'm working on software engineering and I'm working on how to build software since the gate.
</t>
  </si>
  <si>
    <t>Skills to teach DevOps are challeging</t>
  </si>
  <si>
    <t>It's really painful to change the practices</t>
  </si>
  <si>
    <t>It's really complex to change the practices</t>
  </si>
  <si>
    <t xml:space="preserve"> we decided to let the student choose and said, okay, you have your option and do what you want, but you're responsible of doing it.</t>
  </si>
  <si>
    <t>Give the responsibility to the student to chose the system and also the responsibility of what they are doing</t>
  </si>
  <si>
    <t xml:space="preserve">Um, I really like the, when we use the blueJ, uh, platform from, uh, IBM, that was really, everything was integrated and those kinds of things that was really good in a way, but then you're, I mean, captive of their platform and you also have to sign with your blood and agreements that you're doing it for academic purposes and those kind of things, because IBM can be quite aggressive with their partnership, um, policies. </t>
  </si>
  <si>
    <t>IBM platform it's really good but you have to sign with blood and agreements that you are doing for academic purposes, IBM can be quite agressive</t>
  </si>
  <si>
    <t>okay, let's go for something that we have more control on, uh, using for tools like Jenkins and and a stuff like Docker or Kubernetes was kind of good in a way to, uh, support the deployment and the, uh, like the building plus deployment stuff.</t>
  </si>
  <si>
    <t>using for tools like Jenkins and Docker or Kubernetes was kind of good in a way to support the deployment</t>
  </si>
  <si>
    <t xml:space="preserve">I think that that's one of the course that costed me the most in terms of, uh, frustrating time I've spent, uh, debugging lab sessions, </t>
  </si>
  <si>
    <t>Debugging lab sessions are frustating</t>
  </si>
  <si>
    <t xml:space="preserve">we had people that were doing things that were not really the good understanding of DevOps ops, the like the good mindset. And I think the most, yeah, the bigger mistake I've made was to, uh, use a coach. Uh, and we invited him and the guy was, uh, setting himself running himself as a DevOps coach, but the guy just had written books and, uh, had no idea what he was talking about. </t>
  </si>
  <si>
    <t xml:space="preserve">Having a DevOps coach to teach Ops was a huge mistake. </t>
  </si>
  <si>
    <t xml:space="preserve">Like, it was really clear that he was telling just pure marketing. </t>
  </si>
  <si>
    <t>You have to be careful about who you hire to give lectures</t>
  </si>
  <si>
    <t xml:space="preserve">So what we've done was first to, um, continuously evaluate the teams are they were working on the project. So there were like work. We had, I think, a demonstration each three weeks or four weeks. So it was like four demonstration out of the, out of the session. And we also made, uh, something that as we were a big team, a big staff team to follow the students, uh, if you were following your team, you were never grading it. </t>
  </si>
  <si>
    <t xml:space="preserve">continuously evaluate the teams are they were working on the project. So there were like work. We had, I think, a demonstration each three weeks or four weeks. So it was like four demonstration out of the, out of the session. And we also made, uh, something that as we were a big team, a big staff team to follow the students, uh, if you were following your team, you were never grading it. </t>
  </si>
  <si>
    <t>rate DevOps and, um, defend it like the, uh, we were really grading half of the description and half of the justification, if you give me the perfect devops stuff, but you have no idea to explain why the right one, then I don't care.</t>
  </si>
  <si>
    <t>we were really grading half of the description and half of the justification</t>
  </si>
  <si>
    <t xml:space="preserve"> if you want to teach devops, it's really difficult to find, uh, supports, like finding a way to understand how it's towards elsewhere. It's really complicated because there's not a lot, of course that grant themselves as DevOps, basically because it's often hidden because it's something technical you're not supposed to teach. </t>
  </si>
  <si>
    <t>It's really difficult to find supports if you want to teach DevOps</t>
  </si>
  <si>
    <t>o professor, ele precisaria de recursos computacionais, pra poder abordar certos conteúdos... laboratórios e montagem de cenários que fossem próximos do reais.</t>
  </si>
  <si>
    <t>você não tem acesso aos recursos computacionais adequados pra montar cenários que realmente você consiga ministrar laboratórios no ifrn e na nuvem</t>
  </si>
  <si>
    <t>o convênio existente com instituições educacionais por parte de nuvens públicas é caro e limitado</t>
  </si>
  <si>
    <t>Nas nuvens públicas, não há suporte para uso do professor no gerenciamento dos recursos dos alunos amplamento disponível</t>
  </si>
  <si>
    <t>o aluno possa executar no próprio computador dele</t>
  </si>
  <si>
    <t>Delegar para o aluno buscar recursos computacionais.</t>
  </si>
  <si>
    <t>não existe uma taxonomia muito bem aceita de quais são os conceitos devops</t>
  </si>
  <si>
    <t>Você não consegue avaliar com prova, você tem que avaliar com projetos com algum tipo de atividade.</t>
  </si>
  <si>
    <t>pra poder avaliar tem que ser um roteiro de ações práticas que o aluno tem que realizar e você vai avaliar enquanto aquele aluno tá fazendo aquilo ali.</t>
  </si>
  <si>
    <t>Avaliar através de um roteiro de ações práticas que o aluno tem que realizar.</t>
  </si>
  <si>
    <t>o método mais adequado seria eh baseado em projetos, seria montar projeto onde os alunos teriam uma visão eh global do do objetivo final desse projeto e que você fosse apresentando etapas desse projeto ou ou níveis de complexidade eh cada vez maiores até chegar ao ao conclusão.</t>
  </si>
  <si>
    <t>método de ensino incremental e baseado em projetos.</t>
  </si>
  <si>
    <t>se for necessário apresentar algum conceito, que apresentem aquilo ali nos primeiros minutos e que aquele conceito, ele tem uma significado prático, ou seja você precisa entender isso pra fazer aquilo e o que é aquilo, é a prática que deve ocupar ali oitenta por cento da aula, pelo menos.</t>
  </si>
  <si>
    <t>apresentação teórica de conceitos com significado prático. A prática deve ocupar pelo menos oitenta por cento da aula.</t>
  </si>
  <si>
    <t>fazer caber foi mais difícil porque eh eh as vezes o conteúdo é muito extenso e o tempo é limitado.</t>
  </si>
  <si>
    <t>os devops é isso, é justamente a junção desses dois conteúdos, a gente dividiu pra conquistar aí, a gente dividiu a carga horária e foi colocando assuntos que tem uma forte relação que a gente conseguiu identificar entre a área de programação e área de redes.</t>
  </si>
  <si>
    <t>Dividir igualmente a carga horária entre Dev e Ops, identificando disciplinas de programação e redes relacionadas.</t>
  </si>
  <si>
    <t>dificuldade de montar a infraestrutura.</t>
  </si>
  <si>
    <t xml:space="preserve">a gente está em um curso mais de desenvolvimento, normalmente, assim, os alunos talvez precisem de uma percepção mais do Ops... Levar os alunos aí pra ver o outro lado, né? Ver o Ops e o a galera lá do Ops quando puder ter oportunidade de ver a parte mais do Dev também... </t>
  </si>
  <si>
    <t>ensina-se mais dev do que ops</t>
  </si>
  <si>
    <t>como é que você consegue monitorar e dar e talvez ter um feedback do cliente, talvez coisas pra melhorar, o monitoramento propriamente do sistema, essa parte aí é um desafio, realmente, você conseguir mostrar para o aluno e talvez, fazer com que ele encare isso de uma perspectiva mais profissional.</t>
  </si>
  <si>
    <t>o aluno tem dificuldade em perceber a importância do monitoramento do sistema</t>
  </si>
  <si>
    <t>a importância de se ter, realmente, no currículo uma uma disciplina dessa falando sobre esses temas</t>
  </si>
  <si>
    <t>DevOps merece uma disciplina no currículo</t>
  </si>
  <si>
    <t>nessa abordagem mais prática, acredito que se prepara mais o aluno e a gente consegue avaliar, de fato, os aspectos mais importantes da formação dele</t>
  </si>
  <si>
    <t>atividades práticas avaliam melhor o aluno.</t>
  </si>
  <si>
    <t>ferramenta do sistema da nuvem que nos possibilita, realmente, fazer esse acompanhamento.</t>
  </si>
  <si>
    <t>o uso de uma ferramenta de aprendizagem auxilia no acompanhamento dos alunos.</t>
  </si>
  <si>
    <t>um desafio que é convencer os alunos de dar importância a isso... eles tenham essa outra visão, desse aspecto da configuração do ambiente.</t>
  </si>
  <si>
    <t>o aluno tem dificuldade em perceber a importância da configuração do ambiente.</t>
  </si>
  <si>
    <t>não encontro, no meio, uma  literatura que faça isso, que centralize esses pontos, esses aspectos DevOps</t>
  </si>
  <si>
    <t>dificuldade em encontrar livro de referência educacional para a área DevOps</t>
  </si>
  <si>
    <t>Em um curso como o nosso, de desenvolvimento, ter uma disciplina dessas, acho  que é importante sim</t>
  </si>
  <si>
    <t>Eles utilizam o sistema e eu peço sempre pra que eles socializem. A gente tá fazendo nesse momento agora de ensino mais remoto, que eles socializem o que que eles fizeram, né? ... E quando a gente tá nesse momento de socialização, os alunos conseguem aproveitar bem, o ganho e conhecimento que uma outra equipe teve num aspecto que, às vezes, eles não não tinham percebido</t>
  </si>
  <si>
    <t>Socializar conhecimento adquirido nas atividades práticas é muito importante para o aprendizado.</t>
  </si>
  <si>
    <t xml:space="preserve"> os desafios que eu posso citar é justamente essa parte aí de você conseguir demonstrar, né, demonstrar pra eles toda essa esse nosso ferramental.</t>
  </si>
  <si>
    <t>há muitas ferramentas para se trabalhar com DevOps.</t>
  </si>
  <si>
    <t>Tendo esse sistema já no ar, eu acredito também que seja um outro ganho, por quê? Porque na medida que você vai avançando nos temas, você consegue já colocar ali “olhe, esse aspecto aqui que a gente tá trabalhando, vocês vão ter já contemplado no sistema por meio disso, disso e disso”.</t>
  </si>
  <si>
    <t>A utilização de uma ferramenta de aprendizagem auxilia no ensino incremental de DevOps.</t>
  </si>
  <si>
    <t>conseguir associar o conteúdo da aula com a essa visão assim, teórica, com os exemplos daquilo que envolve na prática deles.</t>
  </si>
  <si>
    <t>dificuldade em conjugar teoria e prática dos conceitos DevOps.</t>
  </si>
  <si>
    <t>os aspectos que a gente aborda de integração contínua, essa parte de utilização das ferramentas que a gente usa no ambiente, no dia-a-dia, essas ferramentas que facilitam o desenvolvimento que agilizam mais a entrega... esses temas devem fazer parte do currículo</t>
  </si>
  <si>
    <t>o currículo DevOps deve incluir integração contínua, utilização de ferramentas que facilitam o desenvolvimento e agilizam a entrega do sistema.</t>
  </si>
  <si>
    <t>O principal desafio é que, em geral, as ferramentas relacionadas com DevOps são sistemas baseados em nuvem.</t>
  </si>
  <si>
    <t>muitas ferramentas DevOps baseadas em nuvem.</t>
  </si>
  <si>
    <t xml:space="preserve"> Então, a recomendação é abusar do uso de soluções online, que facilitam esse processo, mas ao mesmo tempo, travar a jornada. ...  Então, a recomendação é abusar do uso de soluções online, que facilitam esse processo, mas ao mesmo tempo, travar a jornada. </t>
  </si>
  <si>
    <t>padronizar o uso de ferramentas em um único cenário.</t>
  </si>
  <si>
    <t>na hora de você ensinar, na hora de você, principalmente pra por exemplos, né? Fazer o ensino com base em contexto prático.</t>
  </si>
  <si>
    <t>utilizar exemplos em projetos práticos</t>
  </si>
  <si>
    <t>o principal desafio é conseguir passar corretamente aos alunos a ideia de que DevOps trata-se de uma cultura.</t>
  </si>
  <si>
    <t>dificuldade em entender a importância do mindset DevOps.</t>
  </si>
  <si>
    <t xml:space="preserve">A principal recomendação é sempre começar pela cultura, né? Apresentar conceitos que estão bem estabelecidos na comunidade, como a questão dos eixos, né? ... Naquela dos eliminação dos silos entre operações e desenvolvimento. </t>
  </si>
  <si>
    <t>iniciar a ensinar DevOps a partir da cultura. Só depois demonstrar com ferramentas.</t>
  </si>
  <si>
    <t>em geral você tem um um range grande de soluções, você tem um ecossistema muito grande de possibilidades de como testar ou demonstrar um conceito</t>
  </si>
  <si>
    <t>muitas ferramentas DevOps disponíveis.</t>
  </si>
  <si>
    <t>construir um laboratório, voltado pra questão de sempre se basear em um laboratório coeso, em um cenário específico, que consiga demonstrar melhor o conceito que está sendo passado ali durante o ensino.</t>
  </si>
  <si>
    <t>Delimitar um conjunto específico de ferramentas para montar um cenário específico, a fim de demonstrar um conceito a ser ensinado.</t>
  </si>
  <si>
    <t xml:space="preserve">em muitos casos a avaliação ainda é baseada no modelo tradicional de prova ou em algum processo de avaliação fixo, com uma relação X de questões ou algo similar. </t>
  </si>
  <si>
    <t>avaliação baseada em provas tradicionais.</t>
  </si>
  <si>
    <t>nós adotamos muito a avaliação baseada em projetos. ... a avaliação desse projeto coloca um aluno no contexto dele testar na prática ou simular, que seja na prática, um pouco do que ele viu durante as aulas.</t>
  </si>
  <si>
    <t>avaliação baseada em projetos práticos.</t>
  </si>
  <si>
    <t>o conceito DevOps, ele é muito aberto, né, ele engloba áreas diferentes entre desenvolvimento, segurança e operações.</t>
  </si>
  <si>
    <t>DevOps é muito amplo.</t>
  </si>
  <si>
    <t xml:space="preserve">o ideal sempre é ter um pouco do todo, Sempre passar pela questão da cultura, pela questão dos pilares, né? </t>
  </si>
  <si>
    <t>Abarcar um pouco de tudo, principalmente dos conceitos DevOps.</t>
  </si>
  <si>
    <t xml:space="preserve">de preferência até por algum case... Em como ensinar a DevOps e como esse conceito se aplica prático. E a partir daí. Identificar os cenários, o caso da Google. A Google, eles têm um conceito muito forte em relação a devops </t>
  </si>
  <si>
    <t>Utilizar cenários de mercado para ilustrar a importância dos conceitos DevOps.</t>
  </si>
  <si>
    <t>esse currículo, uma parte dele, entende? Com uns quarenta por cento, uns sessenta por cento fixo, que é cultura, principais características histórico de como surgiu, né, o que representa a cultura, o que isso muda em relação a processos de desenvolvimento, operações de segurança. A parte que é mutável, são as ferramentas, onde você aplicará isso ou que case você para os alunos dentro da sala de aula na ementa do curso.</t>
  </si>
  <si>
    <t>Metade do currículo com conceitos / cultura DevOps. Metade do currículo com ferramentas.</t>
  </si>
  <si>
    <t xml:space="preserve">quando você lida com o perfil de aluno que não está tão inserido nessa cultura ou que tem isso totalmente como novidade ... Se o aluno tá num contexto onde ele sempre esteve na área acadêmica ou ele nunca teve um contato prático com nenhuma dessas características do desenvolvimento de software, é provável que pra ele seja muito mais desafiador e automaticamente para o professor se torna muito mais desafiador ensinar o conceito DevOps esse perfil de aluno. </t>
  </si>
  <si>
    <t>É difícil ensinar conceito DevOps para quem não atua na área de desenvolvimento ou operação diretamente.</t>
  </si>
  <si>
    <t>E aí nesse perfil de aluno, as analogias, elas tinham que ser muito bem estruturadas pra conseguir fazer com que ele conseguisse visualizar ali ou interpretar o que você, o que eu queria demonstrar em relação a DevOps. Então, muitas vezes eu tinha que fazer uma introdução, introdução baseada em analogias direta ou analogias com outros cenários que ele já encontrou na parte de gestão de produtos para ele entendesse sobre o que eu estava falando.</t>
  </si>
  <si>
    <t>adequar as analogias e exemplos baseado com o nível de conhecimento do aluno.</t>
  </si>
  <si>
    <t>o universo de segurança, ele é muito abrangente, geralmente são profissionais muito capacitados, do ponto de vista técnico.</t>
  </si>
  <si>
    <t>DevSecOps é muito abrangente, e geralmente os profissionais são muito capacitados, do ponto de vista técnico.</t>
  </si>
  <si>
    <t>é necessário que você tenha ali alguma base sobre a parte de segurança, de gestão de vulnerabilidades, porque senão o DevOps ficará muito longe do que é o contexto dele na prática. ... é o tipo de disciplina que ela exige conhecimento forte em duas áreas, entre aspas distintas, na área de segurança, mas ao mesmo tempo na área de desenvolvimento para conseguir encontrar o elo entre as duas e aí sim, chegar no que o aluno eh, no que será interessante pro aluno aprender</t>
  </si>
  <si>
    <t>o professor precisa de bom conhecimento técnico nas áreas de segurança e de desenvolvimento.</t>
  </si>
  <si>
    <t xml:space="preserve">Como as pessoas ficam remotas, basicamente, pros treinamentos, são vários fatores que influenciam a didática. O ambiente da casa, mesmo, que a pessoa, às vezes, não mora sozinha, ou tem filhos, filhas. Isso não é um problema pra gente, pra eu, professor, como professor, mas pra pessoa, às vezes, não pode abrir uma câmera. Não consegue fazer uma então, lidar com essas diferenças dentro da pandemia é importante. Não é um problema, mas é um ponto de e também as diferenças das da infraestrutura que a pessoa tem pra fazer o curso. Uma máquina um pouco mais nova, mais antiga, pré-configurada pro trabalho, tem tem empresas que já deixam a máquina pronta pro dia a dia e o curso usa outras configurações que são desafios que a gente tem com os alunos pra falar, olha, preciso de uma versão X, da e a pessoa não tem a permissão de instalação. 
</t>
  </si>
  <si>
    <t>Dificuldade do trabalho remoto: privacidade, disponibilidade, infraestrutura, configuração de ambiente.</t>
  </si>
  <si>
    <t>é o desafio cultural mesmo de eu não vou entregar uma receita pronta, eu vou ferramentas diversas. Ferramentas eu digo não só programas, metodologias diversas que também são ferramentas para que elas tentem aplicar dentro do processo deles, observar o processo também.</t>
  </si>
  <si>
    <t>Os conceitos DevOps não possuem uma receita pronta.</t>
  </si>
  <si>
    <t xml:space="preserve">a gente tem um acordo comum, um acordo não, é uma convenção que nós temos que é o seguinte, as pessoas são diferentes, viu?  ... elas têm background diferentes, elas têm histórias de vida diferente, experiências que marcaram elas de maneiras distintas </t>
  </si>
  <si>
    <t>As pessoas são diferentes: background, histórias de vida, experiências.</t>
  </si>
  <si>
    <t xml:space="preserve"> saber na hora de apresentar uma ferramenta nova, ouvir o que essas pessoas têm. E, por mais que você não consiga mudar o que a pessoa passou, e o que ela passa, né, o que ela passou, não tem como, mas absorver pro curso. Então, se alguma pessoa teve uma experiência mais traumática em tal etapa do processo de entrega, você saber usar isso na hora certa com ela e personificar com ela, falar, olha, como você me disse naquela parte, uma solução que talvez funcionaria pra você, de novo, porque não tem solução pronta, seria aplicar essa tecnologia para tentar mitigar ou resolver. Então, a dica seria, enxergar os alunos, porque na maioria deles, eles já trabalham como atores importantes, mas do que o conteúdo</t>
  </si>
  <si>
    <t>Ouvir o que as pessoas sabem. Personalizar o ensino de acordo com as experiências individuais dos alunos.</t>
  </si>
  <si>
    <t>limitação das máquinas dos alunos.</t>
  </si>
  <si>
    <t>o conhecimento do aluno em configurar algumas ferramentas</t>
  </si>
  <si>
    <t>limitação do conhecimento prévio dos alunos.</t>
  </si>
  <si>
    <t xml:space="preserve">Mover toda a didática para uma nuvem. Nem usar VM, máquinas virtuais, porque a máquina virtual demanda recurso de hardware. E não é sempre que você tem disponibilidade pra subir duas máquinas virtuais na máquina do aluno. Então, entre em contato com a AWS, que eles têm um programa de estudantes, ou com o Google, com Ali Baba, com Azure, com a IBM Cloud. </t>
  </si>
  <si>
    <t>usar ambientes de nuvem para eliminar limitação de hardware e rede dos alunos.</t>
  </si>
  <si>
    <t xml:space="preserve">conseguir balancear o que é conceito e o que é prática e mostrar a importância, o valor do que você tá explicando. </t>
  </si>
  <si>
    <t>dificuldade em balancear a teoria e a prática.</t>
  </si>
  <si>
    <t>você passar algo que seja prático a cada oito horas com exemplos que o aluno interaja, pra você não ficar numa palestra de horas a fio falando, é importante, saber dividir e balancear</t>
  </si>
  <si>
    <t>utilizar exemplos práticos para o aluno interajir.</t>
  </si>
  <si>
    <t>Então, se você não conseguir quebrar isso, alternar o tom de voz que você fala, interagir com ele, se ficar só falando, você perde o aluno depois de vinte minutos facilmente.</t>
  </si>
  <si>
    <t>Interagir com o aluno e quebrar o tom de voz a cada 20 minutos.</t>
  </si>
  <si>
    <t xml:space="preserve">colocar exemplos, vai explicar algo que é teórico, como o Lean, por exemplo, faz um exercício que simula o processo de Lean, não no software, pode até ser com software, pode ser com blocos, use o trello, interaja com o aluno, </t>
  </si>
  <si>
    <t>Utilizar exemplo com os alunos utilizando blocos ou o Trello.</t>
  </si>
  <si>
    <t xml:space="preserve">eu tô preferindo o Notion apesar de trabalhar para empresa do Trello eu prefiro o Notion por um motivo. Eu consigo exportar ele em Markdown e versionar direto toda documentação. Então, pra cada dia do curso, todos os comandos que a gente vai rodando ou os conteúdos adicionais, eu vou listando, vou interagindo com eles, eles interagem junto. </t>
  </si>
  <si>
    <t>A ferramenta Notion permite exporta para o Markdown, possibilitando o versionamento da documentação de cada dia de curso: todos os comandos executados e conteúdos adicionais.</t>
  </si>
  <si>
    <t xml:space="preserve">Eu acho que tem que ter duas ferramentas sempre, a de stream que seriam o zoom, Google Meet, qualquer ferramenta que faça isso, o Webex não sei, depende da empresa </t>
  </si>
  <si>
    <t>Utilizar uma ferramenta de stream (Zoom, Google Meet ou Webex)</t>
  </si>
  <si>
    <t xml:space="preserve">uma ferramenta de tracking de tarefas, de task. Aí, pode ser o Notion ou o Trello, acho que é básico. </t>
  </si>
  <si>
    <t xml:space="preserve">Utilizar uma ferramenta de tracking de tarefas (Trello ou Notion), </t>
  </si>
  <si>
    <t>E um repositório de código, pode GitLab, Github, que aí você consegue compartilhar com os alunos, essa, essa situação</t>
  </si>
  <si>
    <t>Utilizar uma ferramenta de repositório de código (Gitlab ou Github)</t>
  </si>
  <si>
    <t>As ferramentas dependem muito de muita turma, porque tem turma que é mais específica pra .Net, tem uma específica que é Java. Então, acabo usando Eclipse de um lado, Visual Studio do outro.</t>
  </si>
  <si>
    <t>Utilizar a IDE Eclipse para Java e a IDE Visual Studio para .Net.</t>
  </si>
  <si>
    <t>Nós costumamos usar o Jenkins como ferramenta de integração, porque ele é open source, está em tudo quanto é lugar, apesar de ter outras ferramentas que fazem até melhor o trabalho, mas ele está espalhado, ele é muito antigo,</t>
  </si>
  <si>
    <t>Utilizar uma ferramenta de integração Contínua. Jenkins é open source, é muito difundida.</t>
  </si>
  <si>
    <t>o Notion ou o Trello porque eles, você precisa ter uma ferramenta de duas vias, onde você e o aluno interajam</t>
  </si>
  <si>
    <t>O Notion e o Trello permite a interação dos alunos. O Gist não permite.</t>
  </si>
  <si>
    <t>No zoom, eu vou usar o zoom como principal exemplo, eu acho que o maior dificuldade que eu vejo é em relação a quanto de recurso ele consome, tanto de máquina quanto de internet. Então, eu costumo recomendar pros instrutores, eu faço e recomendo pros alunos quando eles vão compartilhar comigo. Diminuir a taxa de FPF, de compartilhamento de tela, porque isso é um bloqueio. O zoom usa o que ele pode, se você não limitar. Então, a gente limita dez FPS, por exemplo, para que eu não consuma demais a CPU minha, nem do aluno, porque eu tenho que corrigir, às vezes, o exercício do lado dele</t>
  </si>
  <si>
    <t>Limitar a taxa de FPF do zoom para 10, evitando o consumo excessivo de recurso do aluno e dos instrutores.</t>
  </si>
  <si>
    <t xml:space="preserve">Você precisa observar cada aluno e, e aí, vai, de você ouvir bastante, também, qual que era a dificuldade que ele tinha e aonde ele chegou. Então, aí, a gente faz uma avaliação final por aluno, mas a percepção que a gente teve dele. Se ele foi bem, se ele teve muita dúvida, qual foi o ponto que mais gerou dúvida pra ele? </t>
  </si>
  <si>
    <t>Avaliar individualmente a evolução do aluno durante todo o curso.</t>
  </si>
  <si>
    <t xml:space="preserve">E eles também avaliam o curso no final, a gente manda um link e recomendo que faça isso, faz a avaliação em alguns tópicos pra fazer o NPS, eu acho que o NPS é a métrica universal para avaliação, eu não sei se vocês põe debaixo do coloca debaixo do radar, o Net Promoter Score, partir de zero a dez, sendo zero a zero a sete é Detractor, oito é passivo, nove dez é promoter baseada num set de perguntas, que você não pode induzir o aluno. </t>
  </si>
  <si>
    <t>Avaliar o curso, realizando um NPS (Net PRomoter Score)</t>
  </si>
  <si>
    <t>Então, quando o pessoal entra pra fazer esse, essa, esse feedback com os alunos, entender, os alunos falam também com uma pessoa que não sou eu, que no último dia, eu saio, é uma recomendação que eu dou, eu saio da conferência para deixar os alunos à vontade, a conversarem com essa pessoa comete algum deslize durante o treinamento e a pessoa se incomodou e com você lá dentro ela vai ficar um pouco, um pouco com medo de expor apesar de também ser por email.</t>
  </si>
  <si>
    <t>O professor da turma não deve estar presente no momento da avalição do curso por parte dos alunos</t>
  </si>
  <si>
    <t>Gravar um treinamento para que o professor avalie vício de linguagem e se a aula fluiu conforme planejado.</t>
  </si>
  <si>
    <t xml:space="preserve">mesclar, teórico e prático, como a gente já falou, acho que é importantíssimo. </t>
  </si>
  <si>
    <t>Mesclar teórico e prático é importantíssimo.</t>
  </si>
  <si>
    <t xml:space="preserve">Falar sobre a cultura é importante, sobre respeitar as individualidades do seu time, entender que não é uma cultura de culpa ... </t>
  </si>
  <si>
    <t>Ensinar a cultura DevOps: respeitar as individualidades do seu time, não se busca culpados e sim soluções</t>
  </si>
  <si>
    <t>precisa-se falar da parte teórica sobre o Lean que é o método da Toyota, Kaisen também é bem importante, Agile que tá muito vinculada ao processo DevOps</t>
  </si>
  <si>
    <t>Deve-se ensinar Lean, Kaisen e Agile.</t>
  </si>
  <si>
    <t>entender o software na sua concepção. A gente já entrega pro aluno isso meio que pronto, né? Porque a gente não vai criar um software do zero, porque o código já tá meio que lapidado,</t>
  </si>
  <si>
    <t>Utilizar um projeto de exemplo.</t>
  </si>
  <si>
    <t xml:space="preserve">você conseguir olhar pra todos os alunos é muito difícil, eu entendo porque alguns não podem abrir a câmera. Não tem capacidade ou tecnológica, ou estrutural de abrir, conversar com você. A comunicação é quebrada, por mais que a gente abra o tempo inteiro, mesmo que o zoom permita isso. É diferente do dia a dia na sala de aula, porque você não consegue olhar pro aluno e perceber como ele tá reagindo aquele conteúdo. Não que você se adapte só pra um aluno, mas você não tem a percepção pessoal da dúvida. às vezes você consegue olhar pro aluno e falar, opa, eu acho que isso não ficou claro pra ele. Isso é um desafio. </t>
  </si>
  <si>
    <t>A dificuldade em verificar se os alunos compreendem o ensino do professor durante as aulas do ensino remoto.</t>
  </si>
  <si>
    <t>é setar as expectativas na hora dele se inscrever, que não é ferramental o curso inteiro, e que não, a gente não vai usar melhores stacks do mercado</t>
  </si>
  <si>
    <t>Dificuldade em ajustar as expectativas dos alunos, pois a maioria deles deseja apenas utiizar novas ferramentas.</t>
  </si>
  <si>
    <t>eu não consigo enxergar uma disciplina, um ensino de DevOps que não seja hands-on</t>
  </si>
  <si>
    <t>DevOps ensina-se com atividades práticas (hands-on).</t>
  </si>
  <si>
    <t>a falta de proficiência de alguns alunos, em alguns critérios disso, acaba dificultando essa prática.</t>
  </si>
  <si>
    <t>Deficiência prévia de conhecimento dos alunos dificulta o aprendizado.</t>
  </si>
  <si>
    <t>eu peço pros alunos implementarem um sisteminha muito simples, que ele vai servir pra disciplina inteira. Nesse sisteminha, a gente vai ter teste, vai ter build, vai ter integração contínua, vai ter deployment, sabe?</t>
  </si>
  <si>
    <t>Utilizar um projeto/sistema de exemplo.</t>
  </si>
  <si>
    <t xml:space="preserve">Ainda tem esse desafio de entender essas ferramentas, ambiente, rede, configuração, sabe? Então, acho que um desafio traz o outro, certo? Eu diria que esse é um desafio, também.
</t>
  </si>
  <si>
    <t>Dificuldade de configuração de ambiente, ferramentas, rede.</t>
  </si>
  <si>
    <t>uma disciplina que não existe definição, assim, não existe livro texto base.</t>
  </si>
  <si>
    <t>não existe um livro texto base.</t>
  </si>
  <si>
    <t>não existe algo totalmente acordado entre a comunidade do que é, quando é aplicado e tal.</t>
  </si>
  <si>
    <t>não existe um guia de boas práticas acordado na comunidade.</t>
  </si>
  <si>
    <t>porque você tem que tá com a mentalidade que você vai ter que pegar materiais de diversas fontes diferentes, né? ... você vai ter que recorrer à literatura cinza, né, que é essa literatura de blog, do médium, o blogue do Nubank ou do Netflix, que são artigos sensacionais, mas que não tem aquele rigor científico, de revisão de pares e tal. Então, assim, eu acho que o professor de DevOps, ele precisa entender que ele tá nesse ambiente, né?</t>
  </si>
  <si>
    <t>Utilizar várias fontes de materias de estudo DevOps: literatura cinza, blog (médium, Nubank, Netflix).</t>
  </si>
  <si>
    <t>Eu tô pensando seriamente na ideia de simplesmente de dar um sistema pra eles, certo?  ... eu vou dar um sistema, vai ser um sistema open source? Eu também eh, sabe? Já que eu posso dar um sistema, vamos usar um sistema de verdade, que não seja algo de brincadeira.</t>
  </si>
  <si>
    <t>Entregar um sistema de exemplo pronto e bem elaborado, provavelmente open source, para os alunos utilizarem.</t>
  </si>
  <si>
    <t xml:space="preserve">Assim, porque aí, se eu fizer esse sistema, eu posso passar pro pessoal de forma bem mais simples, né? Como é que fazem as coisas e tal, mas aí a gente sabe também que tem os desafios, né? Poxa, isso não é tão simples assim, será que eu vou ter tempo pra fazer, né? </t>
  </si>
  <si>
    <t>Falta de tempo para os professores desenvolverem um sistema de exemplo pronto e bem elaborado.</t>
  </si>
  <si>
    <t>Nós, professores, às vezes, não somos os programadores mais proficientes que existem, então talvez o que a gente escreva, não seja de acordo com o que tá rolando no mercado hoje.</t>
  </si>
  <si>
    <t>Dificuldade dos professores acompanharem o estado da arte da indústria.</t>
  </si>
  <si>
    <t xml:space="preserve">talvez faça sentido você prover o ambiente pros alunos, certo? E esse prover, você pode usar um docker da vida, que já vem tudo pronto, né? </t>
  </si>
  <si>
    <t>preparar uma configuração de ambiente inicial para os alunos.</t>
  </si>
  <si>
    <t xml:space="preserve">Aí o rapaz vai numa semana só já vai ter o seu ambiente inteiro montado, né? Mas, isso gera desafios também, né? Que vai ter dificuldade pra fazer isso e tal. </t>
  </si>
  <si>
    <t>Dificuldade em preparar a configuração de ambiente inicial para os alunos.</t>
  </si>
  <si>
    <t>Parte de cultura, a parte de comunicação, evitar os silos de desenvolvimento, feedback o mais rápido possível, né? ... Recomendações para isso é como eu disse, pega um livro texto, minimamente, ok, bem citado e recomendado aí nas Amazon da Vida, leia os dois, três primeiros capítulos, que é de cultura e pronto, assim, você vai ter um ótimo material e isso vai se repetir em quase todos os materiais que você achar.</t>
  </si>
  <si>
    <t>Utiizar um livro bem citado e recomendado para ensinar parte dos conceitos DevOps onde que há consenso na definição desses conceitos: comunicação, evitar silos de desenvolvimento e operação, feedback o mais rápido possível.</t>
  </si>
  <si>
    <t>Heterogeneidade de material, é o maior desafio. É você ter que montar uma aula costurando as fontes, né?</t>
  </si>
  <si>
    <t>Não há um material condensado para ensinar DevOps.</t>
  </si>
  <si>
    <t>Mas você tem livros, você tem conceitos de controle de versão muito claros e muito óbvios. Mas aí você já começa a falar de gitflow, por exemplo, dentro disso, que já é uma coisa muito nova. Então, o gitflow não tá no livro, sabe? Branch, modelos de desenvolvimento, isso não tá no livro. ... você vai falar de teste de software, teste de software, se você foi um livro de engenharia de software, essa parte de teste é extremamente fraca, assim, é extremamente conceitual, não tem nada. Aí, você já pode pegar os artigos. A literatura de engenharia de software com relação a teste é sensacional, assim, sabe? É muito avançado, né?</t>
  </si>
  <si>
    <t>Os níveis de profundidade de cada conceito muda bastante dependendo da fonte utilizada: artigos científicos, blogs, livros.</t>
  </si>
  <si>
    <t>Que eu tô percebendo que eu vou precisar fazer, mas é exatamente eh documentar, né? Essas fontes, caso você precise revisitar, eh, eh, porque é muito fácil, né? Você abre blogue e tal, você fecha a aba e meio que morreu assim. Então, de alguma forma você, você está sempre documentando, onde você pegou, da onde você puxou, guardar esses links, pra caso você tenha que, caso você precise revisitar aí em próximas, próximas versões do curso, sei lá.</t>
  </si>
  <si>
    <t>Documentar o material consultado, facilitando futuro acesso.</t>
  </si>
  <si>
    <t xml:space="preserve">Eu sempre passo algum tipo de avaliação escrita dos conceitos básicos, porque eu gosto que os alunos expressem nas suas próprias palavras o que eles entenderam e, principalmente, da parte cultural, certo? Porque você precisa evitar silos, né? Por que a parte mais importante te DevOps é comunicação? Certo? Coisas assim, eu acho que é importante escutar deles nas suas próprias palavras, né? Eh o que eles entenderam e como é que eles tão enxergando aquilo. </t>
  </si>
  <si>
    <t>Utilizar avaliação escrita dos conceitos básicos, para que os alunos expressesm o que entenderam com suas próprias palavras.</t>
  </si>
  <si>
    <t xml:space="preserve">Do ponto de vista prático, eu simplesmente passo exercício. Quem entrega o exercício, beleza, sabe? </t>
  </si>
  <si>
    <t>Avaliar através de exercícios práticos.</t>
  </si>
  <si>
    <t>Ah, a dificuldade, novamente, é saber o que entra, né, cara? ... Tem muita coisa que a galera faz dentro do Pipeline de DevOps hoje em dia, que não necessariamente entra num curso de DevOps, né?</t>
  </si>
  <si>
    <t>Dificuldade em montar uma ementa DevOps porque tem muito conhecimento a ser ensinado.</t>
  </si>
  <si>
    <t>tem algumas coisas que não podem deixar de ter, né? todas, se você ver lá a figurinha bonitinha do ciclo DevOps, né? Toda aquela parte de compilar, testar, fazer, monitorar e avaliar, eu acho que tudo isso precisa ser cobrado de alguma forma, precisa entrar de alguma forma, né?</t>
  </si>
  <si>
    <t>Os conceitos básicos de build, teste, implantação e monitoramento devem estar presentes em um curso DevOps.</t>
  </si>
  <si>
    <t xml:space="preserve">Porque você pega tanta coisa diferente que eu fico meio com pena, entre aspas, de passar tudo pros alunos. ... Então, eu acho que uma dificuldade, do ponto de vista, assim, tipo pedagógico da montagem das aulas e tal. Seria isso, a condensação de tudo, vamos dizer, a centralização do material no que você produziu, certo? </t>
  </si>
  <si>
    <t>Dificuldade em condensar um material suficiente e adequado para a turma.</t>
  </si>
  <si>
    <t>então a grande questão era essa, né? De tentar mostrar que devops não é só ferramentas, tentar fazer as pessoas entenderem isso e tentar mudar a durante a aula, assim, tentar da melhor maneira possível, né? Fazer com que as pessoas percebam, né?</t>
  </si>
  <si>
    <t>Dificuldade em demonstrar a importância da cultura (mindset) DevOps.</t>
  </si>
  <si>
    <t>Porque elas já vem com isso na cabeça de que, ah, devops, eu vou aprender um monte de ferramenta, um monte de automatização, vou fazer um deploy com um clique ali e vai ficar mais rápido, né?</t>
  </si>
  <si>
    <t>Os alunos possuem uma pré concepção que DevOps é somente automação.</t>
  </si>
  <si>
    <t xml:space="preserve">cada, cada pessoa ali na aula, cada aluno e aluna traz uma vivência diferente, desafios distintos e tentar generalizar isso é mais complicado. </t>
  </si>
  <si>
    <t>Lidar com as diferentes experiências e perspectivas de cada aluno.</t>
  </si>
  <si>
    <t>essa área de devops é gigante também. Então, o treinamento é limitado ali, ti. É um treinamento de quarenta horas, né?</t>
  </si>
  <si>
    <t>Muito conteúdo DevOps para pouco tempo disponível (40 horas).</t>
  </si>
  <si>
    <t xml:space="preserve"> a gente vai ter que cortar, né? Foca em ferramentas, mas em quais ferramentas. Então, essa foi uma, um grande desafio, assim, pensar em quais temas são essenciais, quais ferramentas ensinar, dentro de cada tema, né?</t>
  </si>
  <si>
    <t>É necessário escolher quais temas e ferramentas são essenciais.</t>
  </si>
  <si>
    <t>Qual ferramenta escolher, que aí tinha que ver, o que que era mais padrão de mercado, o que que era mais simples, o que que fica mais fácil até pra ensinar também e também como encaixar, né?</t>
  </si>
  <si>
    <t>Escolher ferramenta padrão de mercado, simples e fácil de ensinar.</t>
  </si>
  <si>
    <t>Essa parte de, de cultura e tal, que é uma parte, vamos dizer assim, mais chata, né? Que as pessoas vão lá querendo ver ferramentas, né? Então,  como balancear, né? Falar um pouco coisas não técnicas com coisas técnicas.</t>
  </si>
  <si>
    <t>Balancear o ensino da teoria (cultura) e parte prática (ferramentas).</t>
  </si>
  <si>
    <t>de primeiramente mostrar o histórico, mostrar a motivação, mostrar o problema e fazendo uns ganchos ali com possíveis soluções que Devops foi trazendo, né?</t>
  </si>
  <si>
    <t>A montagem das aulas deveria seguir os seguintes passos para ensinar DevOps: histórico, motivação, problemas que se resolve e possíveis soluções com DevOps.</t>
  </si>
  <si>
    <t>porque o universo devops, tem milhões de ferramentas, de tecnologias e tal ... tem uma infinidade de ferramentas, tem todas atendem os os objetivos, são boas e tal.</t>
  </si>
  <si>
    <t>Há muitas ferramentas DevOps.</t>
  </si>
  <si>
    <t>A gente precisava ter algum projeto, né? Prático, né? Pra não ficar só na parte de teoria.</t>
  </si>
  <si>
    <t>Utilizar um projeto prático.</t>
  </si>
  <si>
    <t>Então, a gente acabou escolhendo o Java, porque é o é o grande forte, ali, nosso, tal, foi Java.</t>
  </si>
  <si>
    <t>Utilizar uma linguagem que o professor domine.</t>
  </si>
  <si>
    <t>a recomendação mesmo é olhar pro mercado, pesquisar, ver, em Twitter, grupos de discussão, ver o que tá em alta no Google Trends. Para saber escolher uma ferramenta que seja mais popular, né? Que seja mais utilizada e que mais pessoas consigam aproveitar ali o conteúdo, né? Porque são ferramentas que elas já estão acostumadas a utilizar.</t>
  </si>
  <si>
    <t>Observar as ferramenas de mercado no Twitter, grupos de discussão, Google Trends, pois são ferramentas que os alunos provavelmente estão acostumados a utilizar e aproveitarão em seus trabalhos.</t>
  </si>
  <si>
    <t xml:space="preserve"> eu tinha que mostrar de algum jeito o histórico... a história do desenvolvimento de software, mostrando sobre os processos, né? O cascata, RUP, ágil, falar bastante do ágil, porque tá relacionado e encaixar esses tópicos, assim, mais históricos, que não são bem, não são técnicos... E fazer um paralelo, aí, com o mundo ágil com os problemas que o Devops veio resolver, né?</t>
  </si>
  <si>
    <t>É importante mostrar a relação de DevOps com modelos de desenvolvimento de software, notadamente Agile.</t>
  </si>
  <si>
    <t xml:space="preserve"> o desafio é esse: ter a parte do não técnico com o técnico, ponderar os dois e abordar esses principais tópicos, né? </t>
  </si>
  <si>
    <t>Desafio de conciliar a parte teórica (conceitos) da parte prática.</t>
  </si>
  <si>
    <t xml:space="preserve"> tem alguns conceitos ali que não é só ah, implementar uma funcionalidade e depois ver se tá funcionando conforme os requisitos, né? Tem conceitos ali de colaboração, de comunicação, de organização que são um pouco subjetivos, né?</t>
  </si>
  <si>
    <t>DevOps tem conceitos subjetivos difíceis de avaliar: colaboração, comunicação, organização.</t>
  </si>
  <si>
    <t xml:space="preserve"> E aí, isso tem que ser feito ao longo da turma, né? E não em um determinado momento, ao longo da turma, fazer essas observações.</t>
  </si>
  <si>
    <t>Realizar a avaliação de forma continuada.</t>
  </si>
  <si>
    <t xml:space="preserve"> quando teve a pandemia. Então, a gente mudou o nosso modelo que era presencial pra online, ao vivo. </t>
  </si>
  <si>
    <t>Dificuldade para reorganizar as aulas remotas devido à pandemia.</t>
  </si>
  <si>
    <t>De já deixar tudo pronto pra evitar problemas e perder o foco e a essência ali da turma.</t>
  </si>
  <si>
    <t>Iniciar a turma com a infra estrutura previamente organizada.</t>
  </si>
  <si>
    <t>Isso é um perrengue, porque o que acontece: existem diversas ferramentas e a gente sempre tem que fechar em algumas para o caráter didático da experimentação.</t>
  </si>
  <si>
    <t>São muitas ferramentas DevOps.</t>
  </si>
  <si>
    <t>todo mundo já tá usando o Google ou a Amazon, com seus ambientes Kubernetes disponibilizados para você utilizar.</t>
  </si>
  <si>
    <t>Utilizar infraestrutura de rede disponíveis (AWS, Google)</t>
  </si>
  <si>
    <t xml:space="preserve">DevOps e SRE são conceitos que nasceram muito mais fortemente na prática do que no estado da arte, ou seja, muito mais na indústria do que necessariamente na universidade. Então você tratar desses conceitos sem fazer uma real explanação, ou trazer os principais players de como eles fizeram e por que eles fizeram, é fundamental. </t>
  </si>
  <si>
    <t>Mostrar a importância do histórico e dos principais players DevOps na indústria é fundamental.</t>
  </si>
  <si>
    <t>boa parte das referências, dos casos mais interessantes que eu considerei pra levar pra sala são posts na INFO2, no Metzone, Hacker News, posts do Twitter, estudo de caso do Airbnb, Glitch, Orbitz e tal; outros casos desses que são muito mais interessantes do que necessariamente, livros ou artigos “acadêmicos científicos”,</t>
  </si>
  <si>
    <t>Informações na literatura cinza são mais interessantes para ilustrar o histórico DevOps: posts na INFO2, Metzone, Hacker News, Twitter, estudos de caso do Airbnb, Glitch, Orbitz.</t>
  </si>
  <si>
    <t>DevOps se aproxima muito nessas peculiaridades de cadeiras tipo arquitetura de software. Não dá pra você ficar só nos conceitos, na teoria, você tem que mostrar a concretização dessas coisas.</t>
  </si>
  <si>
    <t>É necessário concretizar os conceitos DevOps.</t>
  </si>
  <si>
    <t xml:space="preserve">use uma abordagem tipo CDL, ou PBL, tal, ajuda bastante nisso, porque aí você tem como apresentar o problema e depois mostrar qual o conceito por trás da resolução daquele problema.
</t>
  </si>
  <si>
    <t>Utilizar a abordagem de ensino PBL (problem based learning).</t>
  </si>
  <si>
    <t xml:space="preserve">Na época que eu comecei a preparar, não existia um buy the book, um “kit”, uma sugestão de curso, aí pra você iniciar, tal, é um bom start, né? </t>
  </si>
  <si>
    <t>O plano de ensino, onde eu vou começar, por onde eu vou passar, o que que vem. Então, estruturar essa sequência dos assuntos a serem abordados, de como é que você vai conectar os assuntos, qual é a parte mais difícil.</t>
  </si>
  <si>
    <t>Dificuldade em montar um plano de ensino, notadamente na conexão dos assuntos abordados.</t>
  </si>
  <si>
    <t xml:space="preserve">Eu costumo estudar bastante o assunto em si, para entender e depois ver qual é a melhor forma de explicar aquele assunto. </t>
  </si>
  <si>
    <t>Estudar bastante o assunto antes de preparar as aulas.</t>
  </si>
  <si>
    <t>pra justamente você propor as dinâmicas, ter essas coisas pra mexer com a turma, porque senão fica tão muito chato.</t>
  </si>
  <si>
    <t>Utilizar dinâmicas para inspirar a turma.</t>
  </si>
  <si>
    <t>o que é que o mercado está utilizando, que é o que é relevante, nesse aspecto; como tá utilizando,</t>
  </si>
  <si>
    <t>Utilizar as ferramentas mais relevantas do mercado.</t>
  </si>
  <si>
    <t xml:space="preserve">Então é tá alinhado ao que tá acontecendo na comunidade como um todo, né? Estar buscando sempre trazer, porque essa área, especificamente, ela corre muito rápido. Então, todo semestre que eu rodo, rodo essa disciplina uma vez por ano, tem atualizações muito fortes do que tá acontecendo.
</t>
  </si>
  <si>
    <t>É importante estar atualizado anualmente com relação às ferramentas de indústria.</t>
  </si>
  <si>
    <t xml:space="preserve">Porque, por exemplo, já tem a minha que tem a minha disciplina aí pronta, né? Então o desafio, pra quem vai começar alguma, é menor. Já tem o que comparar e o que analisar, né? </t>
  </si>
  <si>
    <t>Utilizar ementas de cursos como referência.</t>
  </si>
  <si>
    <t xml:space="preserve">é PBL casa muito bem com, pelo menos assim, na forma que eu enxergo os sinais DevOps ou arquitetura, ou MicroServices, que é uma outra disciplina que eu tenho, fica legal porque você consegue partir do problema e mostrar porque que a galera tá utilizando o que tá utilizando. Então, eu acho que casa perfeitamente, </t>
  </si>
  <si>
    <t>PBL é excelente para ensinar DevOps, apesar de ser difícil de utiilzar pela primeira vez.</t>
  </si>
  <si>
    <t xml:space="preserve">Hoje, eu não uso, eu uso não só PBL, tem sala de aula invertida, né? Acho que essa tradução pro português, trabalho com missões, né? Então, assim, a própria execução é Agile, a gente tem sempre um post-mortems para cada missão. A minha metodologia hoje, de trabalho, é uma combinação de uma série de boas práticas distintas que vem parte da minha experiência profissional e parte do que eu aprendi vendo que dava certo e não dava certo lecionando. </t>
  </si>
  <si>
    <t>Mesclar boas práticas de PBL, aula invertida e Agile, através de experimentação em sala de aula.</t>
  </si>
  <si>
    <t xml:space="preserve">não dá pra ensinar DevOps sem viver DevOps, né? Não dá pra você ler num livro e querer ensinar DevOps porque DevOps é uma disciplina muito prática, tem muita coisa que acontece na prática. Então, aparece muita dúvida, desde conceitos, quanto a erro de configuração do Kubernetes, por exemplo. Então, são coisas que a gente tem que lidar. ... Então, se aventurar a ensinar DevOps, cair de paraquedas, aí é um desafio grande, porque o nível de conhecimento que você vai ter que coletar para isso, é bastante diverso e multidisciplinar.
</t>
  </si>
  <si>
    <t>É necessário se preparar para ensinar DevOps, pois a quantidade de conhecimento necessária é bastante diversa e multidisciplinar.</t>
  </si>
  <si>
    <t>Esse plano de ensino ele não é e nem deve ser finalizado, né? Ele não tem, ele não tá pronto nunca. ... As coisas mudam muito rápido, o foco muda muito rápido.</t>
  </si>
  <si>
    <t>DevOps está modificando rapidamente.</t>
  </si>
  <si>
    <t xml:space="preserve">DevOps acaba te forçando a tocar em uma série de outros universos, né? Principalmente se você for para projeto como método de avaliação. Então, esse é um outro grande desafio, você se manter atento ao que está acontecendo, que pode ser correlacionado e que você pode trazer como escopo em aberto para ser trabalhado também na disciplina, com esse tipo de direcionamento. Que no meu caso, vem aluno de IA, vem aluno de Banco, vem aluno de Engenharia de Software, pagar a cadeira na pós, e que aí não dá pra ficar só no contexto de desenvolver software, de entregar softwares no DevOps, né? Tem todo um outro contexto de coisas relacionadas, por exemplo, à operação, análise de infraestrutura, aprendizado, predição, e por aí vai.
</t>
  </si>
  <si>
    <t>DevOps está correlacionado com outras disciplinas: aprendizado de máquina, tolerância a falhas, predição.</t>
  </si>
  <si>
    <t>But if you learn in context, then you'll remember it because you understood why you did it. So I try to teach them just enough to get them going. I don't give them everything they need to know about Docker. For example, I teach them a little bit about Docker to use Docker containers later on we'll learn how to create our own Docker images. Not right now. If I teach you now, you're going to forget it by the time you need it. So I go over the lessons again and again, and deeper and deeper and deeper.</t>
  </si>
  <si>
    <t>to teach them just enough to get them going. If I teach everything you now, you're going to forget it by the time you need it. So I go over the lessons again and again, and deeper and deeper and deeper.</t>
  </si>
  <si>
    <t>I teach them how to work as a DevOps team. And we create a slack channel. , and I create a channel for each one of the teams. And they're all collaborating in their channel. They have 24/7 access to me. They can ping me at any time on slack. Send me a message, unless it's the middle of the night when I'm sleeping and I don't sleep much, uh, you know, I'll answer them and I'll answer their question.</t>
  </si>
  <si>
    <t>I teach them how to work as a DevOps team.  And they're all collaborating in their channel. They have 24/7 access to me. They can ping me at any time on slack. I'll answer them and I'll answer their question.</t>
  </si>
  <si>
    <t>You have a question, ask me the question in the moment, right? Because that's when the answer is important to you.</t>
  </si>
  <si>
    <t>The student's question should be answered in the moment.</t>
  </si>
  <si>
    <t xml:space="preserve">We learned test driven development. I'll have them run their test cases manually. And then when someone makes a pull request, I'm like, well, you need to clone that, run the test case. Make sure it works before you merge the pull request. And I let them do that for maybe a week, two weeks. </t>
  </si>
  <si>
    <t>Run test cases manually before merging the pull request.</t>
  </si>
  <si>
    <t>And I let them do that for maybe a week, two weeks. And then I teach them, CI continuous integration. I show them how to use Travis to automatically run the test cases</t>
  </si>
  <si>
    <t>Teach CI two weeks after running test cases manually.</t>
  </si>
  <si>
    <t xml:space="preserve">And so they write all the test cases. And then, and then I, I teach them about code coverage. I said, it's not about the test passing. If the code coverage go down, then somebody code it without writing a test case, don't merge that pull-request, right? So I'm teaching this whole culture, right? This way of working. </t>
  </si>
  <si>
    <t>Teach code coverage after writing all test cases and CI.</t>
  </si>
  <si>
    <t>Then finally we push it to the cloud. We set up CD pipelines to deploy things in the cloud. And then I have them refactor their code, knowing that they have the test cases to make. Right? So a lot of these are contrived, but it's because I want them to now know you can refactor with confidence because the test cases will tell you if you broke anything.</t>
  </si>
  <si>
    <t>Setup CD pipelines to deploy things in the cloud is easier because test cases showed the best way to refactor the code.</t>
  </si>
  <si>
    <t>Force situations that really drive the message of how to work as a DevOps Team, how to work agile.</t>
  </si>
  <si>
    <t>being more than a teacher, being a mentor to them, you know, all day and all night, you know, whenever they have a problem they can come to me. And I tell them, don't spend too much time Googling stuff. If you don't understand something, ask me if, if you don't understand what I presented, then I didn't present it in a way that you could connect with it. That was my fault.</t>
  </si>
  <si>
    <t>being more than a teacher, being a mentor to them, you know, all day and all night, you know, whenever they have a problem they can come to me.</t>
  </si>
  <si>
    <t>Everybody learns differently.</t>
  </si>
  <si>
    <t>I let them know that if you asked me the same question a second time, I promise I won't answer it the same way. I'll try to find some different way to make that connection with you. Right? So that you understand it, given the background that you have. Given the skills that you have.</t>
  </si>
  <si>
    <t>if you asked me the same question a second time, I promise I won't answer it the same way.</t>
  </si>
  <si>
    <t>You can't learn the DevOps culture from a book.</t>
  </si>
  <si>
    <t>you have to learn the devops culture by doing my classes are about an hour lecture. And then the other hour and a half is lab it's hands-on, you know, I give them a concept, let's go do it</t>
  </si>
  <si>
    <t>you learn the devops culture with lecture followed by lab hands-on.</t>
  </si>
  <si>
    <t>So I'm trying to give them the real world skills they need to work as a team, right? All their whole college life. Like pair program.</t>
  </si>
  <si>
    <t>Teach DevOps skills they need to work as a team like pair programming.</t>
  </si>
  <si>
    <t>So one of the challenges is how do you teach people from these different backgrounds? How do you teach people who may have never coded before, as opposed to people who know how to code?</t>
  </si>
  <si>
    <t>Teach people from different backgrounds.</t>
  </si>
  <si>
    <t>Do they understand what the cloud is? It'd be great if there was a cloud course before mine, but there isn't.</t>
  </si>
  <si>
    <t>There is no cloud course before DevOps course.</t>
  </si>
  <si>
    <t>there is so much technology that comes together in DevOps, that the challenge is how do you get everyone up to speed on an even right? So that we can all move forward together and learn together.</t>
  </si>
  <si>
    <t xml:space="preserve">It is difficult do move all foward together and learn together when there are many technologies to teach. </t>
  </si>
  <si>
    <t>So I teach my whole course on Linux. We use Vagrant and VirtualBox. And so I don't care if you using windows or using Mac or whatever you're using.</t>
  </si>
  <si>
    <t>Vagrant and VirtualBox are useful to create consistent development environment.</t>
  </si>
  <si>
    <t xml:space="preserve"> So that's the other challenge is people coming in with different technology and then how do you teach them the same thing without saying: "oh, the command in windows is this and the command on a Mac is that"</t>
  </si>
  <si>
    <t>Different technologies have different ways of doing things.</t>
  </si>
  <si>
    <t>What I would love to do is have an environment in the cloud. That's always consistent. That would kind of be the best. And there are several environments in the cloud, but they all cost money.</t>
  </si>
  <si>
    <t>Environment in the could would be the best because they are always consistent, but they all cost money.</t>
  </si>
  <si>
    <t xml:space="preserve">I selected Vagrant and virtualbox because they're both free. ... so I had to change the class for them to use Docker and VirtualBox. </t>
  </si>
  <si>
    <t>I selected Vagrant, docker and virtualbox because they're free.</t>
  </si>
  <si>
    <t xml:space="preserve">Vagrant up and they're up and running. And so that's how I solve that problem. Bigger. It does a very good job of solving that consistent environments for students. </t>
  </si>
  <si>
    <t>Vagrant solves consistent environments for students.</t>
  </si>
  <si>
    <t>you have to find a set of tools that work together.</t>
  </si>
  <si>
    <t>Students will ask me, can I use a different test suite? Can I use, you know, something different? And I'll say, well, you can, but then it's up to you to figure out how it integrates back into everything. So I took a lot of time to figure out what tools work well together.</t>
  </si>
  <si>
    <t>It's up to the students to figure out how different test suite integrates with the setup provided by the teacher.</t>
  </si>
  <si>
    <t xml:space="preserve"> you have to, you have to change the tools almost every semester or every two years. You've got to look at what are the popular tools right now.</t>
  </si>
  <si>
    <t xml:space="preserve"> you have to change the tools almost every semester or every two years. </t>
  </si>
  <si>
    <t>You've got to look at what are the popular tools right now. ... So I pick them for popularity and working together and not just any old, any old tools</t>
  </si>
  <si>
    <t>Use popular tools that really work.</t>
  </si>
  <si>
    <t>A big challenge is students learning to be, um, to be agile working as a team pair programming.</t>
  </si>
  <si>
    <t>a big challenge is students learning to be agile working as a team pair programming.</t>
  </si>
  <si>
    <t xml:space="preserve">it's tough to get the students to be more social if you will, in their coding practices and do pair programming, uh, and follow the, get feature branch workflow. </t>
  </si>
  <si>
    <t xml:space="preserve">it's tough to get the students to be more social if you will, in their coding practices and do pair programming,  and follow the get feature branch workflow. </t>
  </si>
  <si>
    <t>that's kind of challenging getting them to be agile, getting them to think agile, get into think minimum viable product, right.</t>
  </si>
  <si>
    <t>it's challenging the students to be and to think agile.</t>
  </si>
  <si>
    <t>a lot of those concepts are kind of counterintuitive. Um, and then a lot of those concepts are hard to teach in a classroom setting.</t>
  </si>
  <si>
    <t>a lot of devops challenges are hard to teach in a classroom setting.</t>
  </si>
  <si>
    <t>You have to watch how they're working to verify if the students are learning.</t>
  </si>
  <si>
    <t>are they following the process? Not, did they get the work done in the end? That's not the important part is did they learn the process and follow it? And did they learn from it? So that's, it's kind of challenging.</t>
  </si>
  <si>
    <t>it is challeging to verify if the students learn the devops process of working.</t>
  </si>
  <si>
    <t>so there's a lot of preparation in making sure that the tools still work the way they should, that the cloud still works the way they should, um, that the code doesn't have vulnerabilities in it. And that you've got all the right versions of stuff. So that's a lot of, uh, preparation then of course, as I said, you know, new technologies, like when Kubernetes came around, you know, you have to add Kubernetes to the class, constantly adding new technologies to the class move.</t>
  </si>
  <si>
    <t>Lots of preparation to keep tools and environment working, secure and updated.</t>
  </si>
  <si>
    <t>So constantly upgrading software for the labs and making sure they still work is as a lot of, a lot of work in preparing for us to teach something like this that's so hands-on.</t>
  </si>
  <si>
    <t>Constantly upgrading software for the labs and making sure they still work is a lot of work in preparing hands-on classes.</t>
  </si>
  <si>
    <t>For the past year and a half, we've been doing remote learning. I've been teaching my classes on zoom. And so, uh, that makes it very hard to do hands-on because I can't see the students right. While I'm doing the hands-on. So I can't see the puzzled look on their face and say, okay, I just lost them.</t>
  </si>
  <si>
    <t>It's hard to do hands-on on remote learning because the teacher can't see the students right.</t>
  </si>
  <si>
    <t>doing a hands-on class with that many students is just physically challenging.</t>
  </si>
  <si>
    <t>Doing a hands-on class with that many students is just physically challenging.</t>
  </si>
  <si>
    <t>I do have TA's on with my zoom and they do help students over slack, uh, to get things going.</t>
  </si>
  <si>
    <t>I do have TA's on with my zoom and they do help students over slack, uh, to get things going</t>
  </si>
  <si>
    <t>the students work as a team and they get a team grade for what they do as a team.</t>
  </si>
  <si>
    <t>I try to get the student more engaged.... If they're not having fun, then we're, we're doing it wrong. So, so I'm making sure they're having fun.</t>
  </si>
  <si>
    <t>Try to get the student having fun.</t>
  </si>
  <si>
    <t>Then I give them two exams. So the team is 40% of their grade. The exams are 60% a midterm that's 30 and a, and a final that's 30.</t>
  </si>
  <si>
    <t>So the team is 40% of their grade. The exams are 60% a midterm that's 30 and a, and a final that's 30.</t>
  </si>
  <si>
    <t xml:space="preserve"> I don't give quizzes because I'm grading them every day, watching their Kanban boards, seeing how they're working, interacting with them on slack. </t>
  </si>
  <si>
    <t>Grade the students continuously, watching their work.</t>
  </si>
  <si>
    <t xml:space="preserve"> in that assessment, you know, that they're, um, there are 50 multiple choice questions in each exam, no partial credit. Um, and, and so, and I give, and it's an hour, uh, you know, to go do that exam. ...  we're remote now..</t>
  </si>
  <si>
    <t>50 multiple choice questions in each exam because they are remote now.</t>
  </si>
  <si>
    <t>for the assessment, as I said, I give them a lot of leeway in the beginning. Um, they can make mistakes on their Kanban board and still get full credit if they know what the mistakes are that they made.</t>
  </si>
  <si>
    <t>for the assessment, the students can make mistakes in the beginning.</t>
  </si>
  <si>
    <t xml:space="preserve"> And the final exam, I keep, I keep the questions mostly conceptual, right. Because let's face it. If you understand the concepts, you can Google the details, right. But you don't know the concepts, you don't know what the Google, right. ... I do put some questions in that they would have only learned had they participated in the project.</t>
  </si>
  <si>
    <t>Keep the questions mostly conceptual in the final exam. And questions about participating in the project.</t>
  </si>
  <si>
    <t>the big challenge for me right, is, uh, is keeping up with the technology.</t>
  </si>
  <si>
    <t>keeping up with the technology.</t>
  </si>
  <si>
    <t>there's a lack of frame of reference on even what operations is. Most people get into operations, at least in my experience sort of accidentally.</t>
  </si>
  <si>
    <t>there's a lack of frame of reference on even what operations is.</t>
  </si>
  <si>
    <t>it doesn't end once the software is built and once it's passed testing, then it goes into this entire operational stage. We tend to ignore it. And I don't think we ignore it deliberately. We ignore it because it's hard.</t>
  </si>
  <si>
    <t>Teach operational is ignored because it is hard.</t>
  </si>
  <si>
    <t>doing infrastructure as code or forms of configuration management or containerization, or even the simpler things like treating build scripts as first-class citizens alongside your code, start to not be meaningful until you have code at some minimum scale where there's a certain minimum complexity, both in terms of construction.</t>
  </si>
  <si>
    <t>devops does not shine with minimal examples.</t>
  </si>
  <si>
    <t>And in terms of operation, a lot of the stuff that we tend to do at university tends to be fairly small because there's just realistic time constraints for how much people can get done in a week or two, or even in a term or a semester. ...  that I've found is a little bit of misconception or at least prejudice around what devops actually is.</t>
  </si>
  <si>
    <t>realistic time constraints prejudice around what devops actually is.</t>
  </si>
  <si>
    <t xml:space="preserve"> But what that tends to foster is a technology centric attitude about what devops is all about. ... That's half the reason we got into this field in the first place, and it's a really fun thing to be able to do, but it's not sufficient.  </t>
  </si>
  <si>
    <t>People have tecnology centric attitude about DevOps.</t>
  </si>
  <si>
    <t>And trying to change that mindset to emphasize more the idea of devops as a means of continuous improvement, as a means of organizational change. As a, to some extent I use this phrase guardedly, but to some extent, a philosophy around how the organization is going to go from concept to implementation, that's a much harder set of skills to pick up.</t>
  </si>
  <si>
    <t>Change DevOps mindset to emphasize the idea of devops as a means of continuous improvement, as a means of organizational change.</t>
  </si>
  <si>
    <t>Yeah, so challenges, um, differences in people's environments, their hardware, for example, every term, you know, if I want people to do something locally with, let's say, setting up virtual machines or containers or, or whatever, there's always some buddy who has some strange hardware configuration that causes problems.</t>
  </si>
  <si>
    <t>Differences in people's environments, their hardware configuration, cause problems.</t>
  </si>
  <si>
    <t>the recommendation is we just get them off their local machines and get them working off cloud servers or something like that. So that at least a, you can kind of script the stuff be if it gets messed up, there's no risk. You just tear it down and build a new one.</t>
  </si>
  <si>
    <t>Get students off their local machines and get them working off cloud servers.</t>
  </si>
  <si>
    <t>And so every so often I'll get folks who have taken one class and then they start using the wrong version of the tool for the second class, because they have an upgraded or something along those lines.</t>
  </si>
  <si>
    <t>Problems with upgrading tool versions during the classes.</t>
  </si>
  <si>
    <t>I'm starting to do is to just build out images, for example, that contain everything that I want them to have.</t>
  </si>
  <si>
    <t>Use imagens that contain everything that the teacher wants to teach.</t>
  </si>
  <si>
    <t>it is very dangerous to teach too many tools because it's simply conveys that it is a very technology centric approach.</t>
  </si>
  <si>
    <t>I try to pick a few key ones.</t>
  </si>
  <si>
    <t>Use few key tools.</t>
  </si>
  <si>
    <t>I use GitHub and they have options for professors, you know, for academic use, where you can set up these GitHub classrooms. I use those constantly, um, and they work very, very well because again, I can kind of control who gets what I can see, everything I can help individuals through things works great.</t>
  </si>
  <si>
    <t>Use Githab for academic use where you can set up GitHub classrooms. You can control who gets what I can see, everything I can help individuals through things works great.</t>
  </si>
  <si>
    <t>I tend to focus on gradle, but I also will link that to say a comparison against Maven and ant to provide some context for how we got here, why we got here and you know</t>
  </si>
  <si>
    <t>Use gradle as build tool and compare with others like maven.</t>
  </si>
  <si>
    <t>I used to have people stand up during Jenkins instances to do the work, but that just at the end of the day, that's a distraction. My goal is not to teach them how to administer Jenkins.</t>
  </si>
  <si>
    <t>Avoid administering Jenkins if you want to practice continuous integration.</t>
  </si>
  <si>
    <t>Setting up good logging monitoring notifications, some of these other open source tools that provide that kind of those kinds of capabilities. ... So I try to pick a representative sample open source, always cause I don't want people to be buying things.</t>
  </si>
  <si>
    <t>Use representative sample open source to solve logging monitoring notifications.</t>
  </si>
  <si>
    <t>a lot of the folks who are attending the course are not at a level in the organization where they can actually affect culture,</t>
  </si>
  <si>
    <t>students who are attending the course are not at a level in the organization where they can actually affect culture.</t>
  </si>
  <si>
    <t>you have to somehow sell them on why you should spend your sources doing that versus building a new feature or adding a new product or any one of a number of other competing priorities that the business has.</t>
  </si>
  <si>
    <t>Teach the importance of doing devops.</t>
  </si>
  <si>
    <t>you have to make a business case. It's a lot harder to do.</t>
  </si>
  <si>
    <t>It is hard to do a business case to demonstrate the importance of doing devops.</t>
  </si>
  <si>
    <t>I don't think the basic skeleton of the class has really changed significantly, maybe a few places, but over the last two or three years, the, the basic structure, the scaffolding I think has held fairly true where we focus on some devops principles. We focus on concepts. We focus on goals.</t>
  </si>
  <si>
    <t>The basic skeleton of the class does not change significantly because we focus on concepts and we focos on goals.</t>
  </si>
  <si>
    <t>We move through some technology on the application side, we'll move through a little bit of technology on the operation side. What does change is trying to keep up to speed and keep the class adjusted for, uh, what the current state of the art and the current understanding of best practices.</t>
  </si>
  <si>
    <t>It is difficult to keep up the current state of art of devops technologies.</t>
  </si>
  <si>
    <t>There's always double checking the technology, making sure that if you've got any automation in your class, it still works after all of the API changes may have gone into effect on say your cloud provider or, or whatever, making sure you're on the latest and greatest versions of whatever tooling that you're going to use and make sure that the hat that hasn't broken things and always missing something and suddenly be scrambling before class going, oh no, no, no. They've changed something. I need to figure this out.</t>
  </si>
  <si>
    <t>Devops tools changes fast and it may break your labs.</t>
  </si>
  <si>
    <t xml:space="preserve">I'm usually maybe a couple of weeks out verifying something for an upcoming, an upcoming session. </t>
  </si>
  <si>
    <t>Verify if labs exercises are working before classes.</t>
  </si>
  <si>
    <t>you do the assignment and then you get a grade for the assignment. ... At the end of the day, I'm way more concerned. They're able to get stuff working and that you understand why we're doing it.</t>
  </si>
  <si>
    <t>The sutff of the assignment should be working and the students should understand why they are working.</t>
  </si>
  <si>
    <t xml:space="preserve"> If there's problems, I'll tell you where there's problems and you can go fix it, go get it, right. Go, go make it, do what it's supposed to do. You know, because in industry we're, we don't just get a one and done shot. We keep at it until it works. And so I bring that to the table and I think that provides a little less pressure on students. </t>
  </si>
  <si>
    <t>Students can fix their code problems. In industry, we keep coding until it works. It provides a little less pressure on students.</t>
  </si>
  <si>
    <t>I will try to provide, uh, some kind of, of jump-starting as far as people learning at technology. So for example, here's commonly used commands.</t>
  </si>
  <si>
    <t>Provide jump-starting examples of commonly used commands.</t>
  </si>
  <si>
    <t xml:space="preserve">teaching students how to write code without teaching them how to manage code is a serious problem. </t>
  </si>
  <si>
    <t>write code without teaching them how to manage code is a serious problem.</t>
  </si>
  <si>
    <t xml:space="preserve">I tend not to get quite as hyper-focused on right versus wrong answers. ... so treating it as, as more of an assessment of maybe architecture, if you will, or an assessment of approach, as opposed to this is right, this is wrong. Uh, I think that's been fairly well received. </t>
  </si>
  <si>
    <t>Use an assessment of approach as opposed to this is right or this is wrong.</t>
  </si>
  <si>
    <t xml:space="preserve"> the exams are really more the conceptual or philosophical elements stuff, where there is a little more of a, a cut and dry response, or at least I try to structure them that way.</t>
  </si>
  <si>
    <t>The exams have conceptual or philosophical elements.</t>
  </si>
  <si>
    <t xml:space="preserve">Our particular curriculum tends to allow out of, some degree of necessity and amount of interest based learning. You know, I care about software architecture. </t>
  </si>
  <si>
    <t>Our particular curriculum allows some degree of necessity and amount of interest based learning.</t>
  </si>
  <si>
    <t>We let the students build only one project, one code base, which is evaluated both on the standpoint of the architecture. ... but also from the angle of continuous integration, do they include build plan?</t>
  </si>
  <si>
    <t>Evaluate the single project on the standpoint of the architecture and also from the angle of continous integration.</t>
  </si>
  <si>
    <t>human challenges are when you start teaching DevOps, it doesn't look serious</t>
  </si>
  <si>
    <t>when you start teaching DevOps, it doesn't look serious.</t>
  </si>
  <si>
    <t>You're not serious because it's not predictable. ... How to express concept, formalize them</t>
  </si>
  <si>
    <t>It is difficult to express and formalize DevOps concepts.</t>
  </si>
  <si>
    <t>when you do continuous integration, you need to have a logical base. ... you need a lot of machines interconnected, um, with visibility on each other that they can get to.</t>
  </si>
  <si>
    <t>machines should be interconnected, with visibility on each other.</t>
  </si>
  <si>
    <t>I ended up doing was to give each group a big virtual machine. And on that machine, they run three or four Docker images. Uh, one with Artifactory, one with Jenkins,</t>
  </si>
  <si>
    <t>Give each group a big virtual machine. And on that machine, they run three or four Docker images. Uh, one with Artifactory, one with Jenkins.</t>
  </si>
  <si>
    <t>how do you rebuild an enterprise environment into a university environment that is much more restrictive and doesn't have enough machines for them.</t>
  </si>
  <si>
    <t>it is difficult to build an enterprise environment into a university environment that is much more restrictive and doesn't have enough machines for them.</t>
  </si>
  <si>
    <t>It's hard for them to see all the values, layers of source side, real shoes, deployment side. They have a tendency because their students write code clicky works done, right? And it's hard to teach them that no wanting code somewhere.</t>
  </si>
  <si>
    <t>It's hard for students to see the values of deployment side.</t>
  </si>
  <si>
    <t>the second recommendation is update your exercises often. ... you can get everything set up.</t>
  </si>
  <si>
    <t>Update your exercises often to get everything set up.</t>
  </si>
  <si>
    <t>You run into things that used to work and do not work two months later.</t>
  </si>
  <si>
    <t>Tools update fast and break the setup of the exercises.</t>
  </si>
  <si>
    <t xml:space="preserve">So you have to have your stack ready, but you have to update it with the current version of the software that you intend the students to use fairly close to the beginning of the session, if you don't want to be surprised. </t>
  </si>
  <si>
    <t>Update your exercises frequently.</t>
  </si>
  <si>
    <t>You don't know what is Docker yet, but here's a common line. Just run it. And then here's a common line to run. Artifactory you don't know what it means, just type it like this. Um, it will give you an Artifactory that's running.</t>
  </si>
  <si>
    <t>Use the tools like Docker and Artifactory in simplest way.</t>
  </si>
  <si>
    <t xml:space="preserve">And then as we go into more concept, like what is Jenkins and what is Artifactory and what is Docker, then we can go back on those things. </t>
  </si>
  <si>
    <t>Study the tools more when you go into the concepts.</t>
  </si>
  <si>
    <t xml:space="preserve">if you're the things and they've launch, you know, Docker and Jenkins, that's it or JDK, that's it. There's no memory left. Um, so is the environment set up is hard. </t>
  </si>
  <si>
    <t>Local environment set up is hard because it needs lots of hardware.</t>
  </si>
  <si>
    <t>what helps is to build something that is portable and something that can be broken down into several pieces where one student runs one bit and then another students runs the rest. It's also good because it forces them to work as a group.</t>
  </si>
  <si>
    <t xml:space="preserve">build something that is portable and something that can be broken down into several pieces where one student runs one bit and then another students runs the rest. </t>
  </si>
  <si>
    <t xml:space="preserve"> it's just a small sample, but, but it's been billed according to the right guidelines that we want them to use. So they can borrow heavily from the sample. They can see sample testifies, sample integration test, sample Docker files, componentization, et cetera. Um, and basically their project. I mean, they're free to do what they want from a functional standpoint in the project, but from a tools and technology, we force just on them to avoid too many variation between the groups.</t>
  </si>
  <si>
    <t>Provide a small sample project to startup the students' project and alert them to avoid too many variation between the groups.</t>
  </si>
  <si>
    <t>we build a class where we have a ratio of about one hour of classroom concept teaching on the whiteboard or something at three hours where they actually type on the keyboard of practical session.</t>
  </si>
  <si>
    <t>One hour of classrom concept teaching and three hours of practical session.</t>
  </si>
  <si>
    <t>17 e 18</t>
  </si>
  <si>
    <t>asked them proposedly to break some tests. ... So they can see the impact. ... And only when you touch it, you understand it.</t>
  </si>
  <si>
    <t>To break some tests proposedly to understand devops culture.</t>
  </si>
  <si>
    <t xml:space="preserve">what is hard is to be prepared with, um, a technology stack that is robust and simple or very simple so that you know exactly what you look when you help them debug. ...  It's mostly the preparation of the exercise that is demanding.
</t>
  </si>
  <si>
    <t>It is hard and demanding to prepare a robust and simple technology stack.</t>
  </si>
  <si>
    <t xml:space="preserve">I've tried to be very incremental. Um, first teach the value of tests, then write the script to build everything on your desk. You don't need any you're alone. ... Then break it down into several components and build them one by one, then put an Artifactory in the middle. So you have the dependency. ... So you can imagine that each people in the group is like a different team in the world. </t>
  </si>
  <si>
    <t>try to be very incremental. Everything on your desk first. Splits into several components. Build them one by one. Start working in group.</t>
  </si>
  <si>
    <t>we've done live presentation, where they have something that 20 minutes to describe the architecture, to describe their build strategy, that test strategy and demonstrate it on the screen. Um, and that is evaluated by a jury of one representative from the software architecture class and one representative from the DevOps class.</t>
  </si>
  <si>
    <t>The students have something that 20 minutes to describe the architecture of the project, to describe their build strategy, that test strategy and demonstrate it on the screen. That is evaluated by a jury of one representative from the software architecture class and one representative from the DevOps class.</t>
  </si>
  <si>
    <t>... build a report, describing the intent for the architecture, for the componentization of the code and how they intended to build and test it very early.</t>
  </si>
  <si>
    <t>The students build a report describing the architecture, the componentization and the build of the code.</t>
  </si>
  <si>
    <t xml:space="preserve">we also do two evaluations, one in the middle and one at the end. So the one in the middle, we call it MVP evaluation. ... we care that you have the components in place. </t>
  </si>
  <si>
    <t>Use MVP (Minimum viable product) evaluation to validate components of the project.</t>
  </si>
  <si>
    <t xml:space="preserve">we also have a lot of evaluation during the exercise. ... we give them flags if week green, yellow, or red, based on where we think they are, uh, regarding the objectives. </t>
  </si>
  <si>
    <t>Use green, yellow or red flags to evaluate the group.</t>
  </si>
  <si>
    <t xml:space="preserve"> I grew up poking the code. I check out the code of every group. And I look at the commits who has done what I look at. ...  I run all the scripts. I ask them to provide me with scripts that are portable, that will run on my computer.</t>
  </si>
  <si>
    <t>Analyse the code and scripts in the project.</t>
  </si>
  <si>
    <t>We've, uh, helped them build tests. We give them everything to understand what our test unit test and make sure that they can write tests.</t>
  </si>
  <si>
    <t>Give students everything to understand what our test unit test and make sure that they can write tests.</t>
  </si>
  <si>
    <t>we help them manage stories, backlog. Uh, so it's more on the front of, we give you requirements.</t>
  </si>
  <si>
    <t>Help students manage stories and backlog.</t>
  </si>
  <si>
    <t xml:space="preserve">we've introduced recently is a notion of digital branches and feature branches, for example, uh, linked to stories, but we try to just give them small individual tools. </t>
  </si>
  <si>
    <t>Introduce the notion of digital branches and feature branches using small individual tools.</t>
  </si>
  <si>
    <t xml:space="preserve">We show them Kubernetes, um, but they don't really have time to practice on Kubernetes. Uh, it's, it's a lot, it's a lot of work. </t>
  </si>
  <si>
    <t>They don't have time to practice on Kubernate because it is lot of work.</t>
  </si>
  <si>
    <t xml:space="preserve"> And then the books are more industry oriented. Like, uh, we don't look at the, uh, uh, more with teaching parts, like, um, so there is no textbook, actually it is more industry document, eh, discussion about DevOps.</t>
  </si>
  <si>
    <t>The books are more industry oriented. There is no textbook about with discussion about DevOps concepts.</t>
  </si>
  <si>
    <t xml:space="preserve">what I do is that after introducing a concept and so on, I started really looking at very specific issues ... so in the lab we students learn, uh, in our, to be able to, for instance, to create a pipeline currency, DevOps pipeline, and, and, um, very, uh, set up A B tests, create test cases and do automated test, uh, test automation. </t>
  </si>
  <si>
    <t>Introduce a concept and do labs with creating DevOps pipeline, setup A/B tests, and automated tests.</t>
  </si>
  <si>
    <t>The lab is like in the lab, because it's a very practical ...  currently we are using the application we use is a banking application</t>
  </si>
  <si>
    <t>Provide sample application in the labs.</t>
  </si>
  <si>
    <t xml:space="preserve">the students have to do in the projects is to start by coming up with the requirements of the obvious application, and then start setting up their own environment and provide some additional functionalities that we want to implement. </t>
  </si>
  <si>
    <t>Students start setting up their own DevOps environment and provide additional feature using simple application in the project.</t>
  </si>
  <si>
    <t xml:space="preserve">I put them by a team of four, six per group, and then we work together and, and that's good also because it may be working in a team. </t>
  </si>
  <si>
    <t>Put students to work by a team of four to six per group.</t>
  </si>
  <si>
    <t xml:space="preserve"> the challenge sometimes is finding a good open source application, which is not too big also because you don't want the project to be too big. You don't want it to be too small, but you don't want too big. So, so finding something in between, which can be used. </t>
  </si>
  <si>
    <t>It is difficult to find a good open source application not too small and not too bit that can be used.</t>
  </si>
  <si>
    <t xml:space="preserve"> I try to use as much as possible with tools that people use in industry and companies.</t>
  </si>
  <si>
    <t>Use as much as possible relevant industry tools.</t>
  </si>
  <si>
    <t>we use Jenkins because it is a, it is free and, and a lot of companies are using, but there are some other options that can be used.</t>
  </si>
  <si>
    <t>Jenkins can be use as continuous integration server because it is free.</t>
  </si>
  <si>
    <t>we use Selenium for test automation</t>
  </si>
  <si>
    <t>Use Selenium for test automation.</t>
  </si>
  <si>
    <t>we use also SonarQube to help us on the automation</t>
  </si>
  <si>
    <t>Use SonarQube to help on the automation.</t>
  </si>
  <si>
    <t>for performance testing we use JMeter</t>
  </si>
  <si>
    <t>Use JMeter for performance testing.</t>
  </si>
  <si>
    <t>we also security platform like, uh, Zap</t>
  </si>
  <si>
    <t>Use OWASP Zap as security platform.</t>
  </si>
  <si>
    <t xml:space="preserve">it can be also challenging for the, if you have the lab instructor with handling all tools </t>
  </si>
  <si>
    <t>the lab instructor should handle many tools.</t>
  </si>
  <si>
    <t xml:space="preserve">DevOps tools are available and where a lot of them are free and some of them are conscious of those. So a lot of them are free. And, and then, so, so far, I think it has been good. </t>
  </si>
  <si>
    <t>DevOps tools are available, many of them are free.</t>
  </si>
  <si>
    <t>I introduced the concept of them speaking about continuous integration, continuous, and delivery and continuous deployment. But, uh, in, in practice doing the remaining stage in the lab is very challenging because we don't have enough time because it's three months.</t>
  </si>
  <si>
    <t>Labs of CI and CD are challeging because there is not enough time in three monts.</t>
  </si>
  <si>
    <t xml:space="preserve">the challenge for us is getting an application, which is interesting. </t>
  </si>
  <si>
    <t>It is difficult to find an interesting sample application.</t>
  </si>
  <si>
    <t xml:space="preserve">Quite often, what we do is have someone in our team to implement the application. </t>
  </si>
  <si>
    <t>Someone from teacher staff implements the application.</t>
  </si>
  <si>
    <t xml:space="preserve"> finding and implementing an application, creating some issues in it, some bugs in it. And then, uh, that's, that's very expensive for us.</t>
  </si>
  <si>
    <t xml:space="preserve">It is hard to find and implement an application, create some issues in it, some bugs in it.
</t>
  </si>
  <si>
    <t xml:space="preserve"> I split the course with lecture in two paths. I introduce the concepts and I include a kind of tutorial as battery course where, because present, whatever it course is I hacking techniques out to it. </t>
  </si>
  <si>
    <t xml:space="preserve"> I split the course with lecture in two paths. I introduce the concepts and I include a kind of tutorial as battery course. </t>
  </si>
  <si>
    <t>I mean, it is part of what's called penetration testing. But the idea is you teach about to students about how to test an application by hacking the application, to store it, to see if there are some security issues.</t>
  </si>
  <si>
    <t>the idea is you teach about to students about how to test an application by hacking the application, to store it, to see if there are some security issues.</t>
  </si>
  <si>
    <t xml:space="preserve">We presented as a lab project, where there are five components in it, five deliverables. ... So the students start initially by defining the requirements and then after they start a secondary pipeline, and then they do at least a couple of weeks iterations cycle and develop cycle. And then after they go to do performance testing to do a security testing and all those kinds of things, and for each of these deliverables, we submit something, every report. And, and, uh, so that's very easy to map because it's a very practical. </t>
  </si>
  <si>
    <t>final exam where you ask exam questions.</t>
  </si>
  <si>
    <t>most of the time to give a problem solving questions where I put a problem and say, okay, and push a student to critically think. ... , I put a problem and then we'll come up with the solutions for the problem. And I haven't been able to find a good way to do that with DevOps, in, uh, in terms of assessment.</t>
  </si>
  <si>
    <t>Use problem solving questions in DevOps assessment. It pushs student to critically think.</t>
  </si>
  <si>
    <t>the ideal scenario would have been able, will have been, to be able to do a situation where I can take several topics in the book and then cover them from the beginning to the end. But, uh, I haven't been able to find that possible yet.</t>
  </si>
  <si>
    <t>there is no book that can be used to cover all the concepts in the course.</t>
  </si>
  <si>
    <t>your books are written mostly with the different projects in mind. Like they are thinking about people working in the company, but not thinking about students who are learning. And this makes it very difficult to design a DevOps curriculum where you cover a hundred percent DevOps in one course.</t>
  </si>
  <si>
    <t>Books are designed to company professionals and not about to students who are learning.</t>
  </si>
  <si>
    <t xml:space="preserve"> And so if we can find a way to be able to, to compress the experience or expertise in the practical experience and expertise in the context of lectures and so on.</t>
  </si>
  <si>
    <t>Conciliate the experience in labs and the context of lectures.</t>
  </si>
  <si>
    <t>essentially I found this DevOps handbook, which has really not written as a textbook, but it's, it covers it's, it's built around the three ways of DevOps. So the first way is the notion of flow. The second way is the notion of, um, feedback. And the third way is continual learning and experimentation.</t>
  </si>
  <si>
    <t>DevOps handbook is not written as a textbook, but it's built around the three ways of DevOps. So the first way is the notion of flow. The second way is the notion of, um, feedback. And the third way is continual learning and experimentation.</t>
  </si>
  <si>
    <t>we had to work to do on the labs. ...  the assistant I had two for the labs was too busy with too many things.</t>
  </si>
  <si>
    <t>lots of work to setup the labs.</t>
  </si>
  <si>
    <t xml:space="preserve"> I had a different assistant for the labs who was the next student. So the first time, and the labs were quite well received. </t>
  </si>
  <si>
    <t>TA assistant is important to setup the labs.</t>
  </si>
  <si>
    <t>. It will be one group in the fall, one group in the winter, two groups in the summer. So it's not mandatory, but essentially we're going to have more or less, probably close to 200 students per year who will follow this course.</t>
  </si>
  <si>
    <t>200 students in four courses per year.</t>
  </si>
  <si>
    <t xml:space="preserve">the challenge is, in my opinion, is, is to, to strike this balance between, between, um, concreteness, like work with technologies, because essentially, uh, DevOps is yes, a philosophy. </t>
  </si>
  <si>
    <t>It is difficult to balance the concreteness (technologies) and the philosophy of DevOps.</t>
  </si>
  <si>
    <t xml:space="preserve">, it goes to the foundations of devops and gets to the different key ideas, right? </t>
  </si>
  <si>
    <t>Devops Handbook goes to the fundations of DevOps and gets to the different key ideas.</t>
  </si>
  <si>
    <t>the main challenge remain the able to, to, to teach the fundamentals.</t>
  </si>
  <si>
    <t>It is challenging to teach the DevOps concepts.</t>
  </si>
  <si>
    <t>I think that this type of course almost requires some type of industrial experience.</t>
  </si>
  <si>
    <t>Use industrial experience in your course.</t>
  </si>
  <si>
    <t>The Phoenix project ...  it's written also by essentially Jean Kim ... , it's written as a novel ... you get into the, the life of people that are facing issues that's are essentially DevOps issues ... he Phoenix project is more about the Ops side of things.</t>
  </si>
  <si>
    <t>The Phoenix book by Jean Kim is written as a novel about the life of people facing issues that are essentially DevOps issus. It covers the Ops side of DevOps.</t>
  </si>
  <si>
    <t xml:space="preserve">the labs need to be very concrete. </t>
  </si>
  <si>
    <t>the labs need to be very concrete.</t>
  </si>
  <si>
    <t xml:space="preserve"> The second one is to, we give them an application. It's an actually an HVAC humidity, air conditioning and ventilation, um, and they don't develop the application, but they have to build the pipeline to support this existing application.</t>
  </si>
  <si>
    <t>Give the students the sample application. They have to build the pipeline to support it.</t>
  </si>
  <si>
    <t>So second one is about establishing the pipeline and then they finish the second one by, uh, building the Docker images. But it's not in depth about containers or, or kubernetes, but that's easily touch it.</t>
  </si>
  <si>
    <t>The second lab is about establishing the pipeline and building the docker images.</t>
  </si>
  <si>
    <t xml:space="preserve">the global approach made sure the students not associated with devops with a CI/CD pipeline, because in my opinion, it's all about continuous improvement. </t>
  </si>
  <si>
    <t>Continuous improvement is key to work with DevOps.</t>
  </si>
  <si>
    <t xml:space="preserve"> they need to do concrete things ... it's to be able to traverse the whole thing without necessarily going in depth about all of these things.</t>
  </si>
  <si>
    <t>It is difficult to do concrete thing without necessarily going in depth about all of DevOps tools and techniques.</t>
  </si>
  <si>
    <t>we try to make it minimal</t>
  </si>
  <si>
    <t>try to make the environment setup minimal.</t>
  </si>
  <si>
    <t>the challenge from an environment point of view is to get something that students can relate to right.</t>
  </si>
  <si>
    <t>they use GitHub. .. The only thing we really need is that the students give us, uh, access to their accounts.</t>
  </si>
  <si>
    <t>Use Github with access to students accounts.</t>
  </si>
  <si>
    <t>we enforce the usage of, of the, of the Kanban, because it's an important practice in devops to make the work visible and stuff.</t>
  </si>
  <si>
    <t>Use Kanban because it's an important practice to make the work visible in devops.</t>
  </si>
  <si>
    <t xml:space="preserve">they have a real experience with respect to Amazon, it's pretty simple, and you can get a free Amazon, you just have to register. </t>
  </si>
  <si>
    <t xml:space="preserve">You can get a free Amazon account, you just have to register. </t>
  </si>
  <si>
    <t>if you have lab assistants that are, you know, good, it's pretty easy to manage.</t>
  </si>
  <si>
    <t>It is good to have lab assistants.</t>
  </si>
  <si>
    <t xml:space="preserve"> And now, since all of the students have their laptop, we try to make it as industrial as possible in lightweight as possible.</t>
  </si>
  <si>
    <t xml:space="preserve"> Try to make it as industrial as possible in lightweight as possible if all of the students have their laptop.</t>
  </si>
  <si>
    <t xml:space="preserve">we're building a couple of tutorials so that, you know, the ones that have less experience with certainly the testing can look at it. </t>
  </si>
  <si>
    <t>we're building a couple of tutorials so that the ones that have less experience can look at it.</t>
  </si>
  <si>
    <t xml:space="preserve"> get the students to have a global overview of DevOps. And I think that those three ways of DevOps are particularly good because they're focused on three different aspects, um, that are all essential. ... it's a continual improvement process.</t>
  </si>
  <si>
    <t>The global overview of Devops is a continual improvement process.</t>
  </si>
  <si>
    <t>if your goal is to get the students to understand DevOps, don't do that mistake because devops is way more than a CI/CD. The pipeline is way more than Docker and Kubernetes. It's way more than integrated testing. It's way more than right. It's this whole thing that is DevOps.</t>
  </si>
  <si>
    <t>Let students understand that DevOps is more than CI/CD, pipeline and tools like docker and kubernetes.</t>
  </si>
  <si>
    <t>the lectures are more the, you know, sharing the experience and, and zooming in and some of the concepts.</t>
  </si>
  <si>
    <t>the lectures are sharing the experience and zooming in some of the concepts.</t>
  </si>
  <si>
    <t>what's the role of the Kanban and in the overall process, you know, make the students realize that the Kanban has certain information for a certain purpose.</t>
  </si>
  <si>
    <t>make the students realize that the Kanban has certain information for analyzing the overall process.</t>
  </si>
  <si>
    <t>to strike a balance. The students are of course, very keen about the products and telemetry about the product and, and, and, and building Docker containers. And, but what I want them to reflect, I mean, the whole goal of DevOps is to make the process effective, very, very efficient.</t>
  </si>
  <si>
    <t>To strike a balance between about using tools and make the DevOps process effective and efficient.</t>
  </si>
  <si>
    <t xml:space="preserve"> the book I have quiz, uh, again, it could be translated and adjusted, but that's the way to, to test in the exams. ...  one part is exactly quiz questions. So they have multiple choices.</t>
  </si>
  <si>
    <t>Use quiz in the book to test in the exams with multiple choices.</t>
  </si>
  <si>
    <t>I give them two case studies, uh, so to see if they can analyze a given situation.</t>
  </si>
  <si>
    <t>Give case studies to see if the students can analyze a given situation to test in the exams.</t>
  </si>
  <si>
    <t xml:space="preserve"> we use one of the topics in DevOps that becomes quite important is value stream mapping. So to be able to capture your process is pretty simple in terms of modeling as a flow of activities, value stream mapping is a technique that has been used for quite a long time and in production.</t>
  </si>
  <si>
    <t>Be able to capture your process is pretty simple in terms of modeling as a flow of activities, value stream mapping is a technique that has been used for quite a long time and in production.</t>
  </si>
  <si>
    <t>this mindset of thinking of continuous improvement is so important, right?  ... the improvement of the daily work is more important than the work itself.</t>
  </si>
  <si>
    <t>The mindset of thinking of continuous improvement is so important because the improvement of the daily work is more important than the work itself.</t>
  </si>
  <si>
    <t xml:space="preserve"> what should I improve to make my process more efficient? So to me, this is the most important thing of DevOps. And, and, and then you do it through automation, automation of, of the deployment process, automation of, of, you know, the testing process automation later of the security, uh, thing and so on.</t>
  </si>
  <si>
    <t>The most importart thing of DevOps is to improve my process continuously through automation.</t>
  </si>
  <si>
    <t xml:space="preserve"> I didn't find any course on devops that I can two years ago that I'm almost like three years ago now when I started to work on it</t>
  </si>
  <si>
    <t>It is good to use another course as reference.</t>
  </si>
  <si>
    <t>dev ops, doesn't equal CI/CD and devops doesn't equal automate the testing. It's all part of it, but does not equal.</t>
  </si>
  <si>
    <t>DevOps is not only CI/CD and automation.</t>
  </si>
  <si>
    <t>the lectures, um, for the first part it's okay. I think for, until the midterm to have just get essentially through the book.</t>
  </si>
  <si>
    <t>the lecture is okay because it is essentially through the DevOps Handbook.</t>
  </si>
  <si>
    <t>try to work more on case studies on, on, on concrete problems on, especially if they have to read the book.</t>
  </si>
  <si>
    <t>Work more on case studies and concrete problems.</t>
  </si>
  <si>
    <t>to make the lecture attractive students have to willing to interact. Right. Which is very difficult to do. And of course, uh, zoom teaching, uh, makes it a challenge.</t>
  </si>
  <si>
    <t>It is very difficult to interact with students in lecture remote teaching .</t>
  </si>
  <si>
    <t>find something to do things in the lectures that are complimentary, as opposed to repeating the mandatory lecture that they have to do.</t>
  </si>
  <si>
    <t>Find something complimentary to mandatory lecture.</t>
  </si>
  <si>
    <t xml:space="preserve">bringing a couple of, um, industrial speakers as well to share their experience. ... having someone speak to you openly sharing the experience I think is quite good.
</t>
  </si>
  <si>
    <t xml:space="preserve">Having someone speak to you openly sharing the experience I think is quite good.
</t>
  </si>
  <si>
    <t xml:space="preserve"> I think the quizzes to me are a way to try to make sure that the read the book.</t>
  </si>
  <si>
    <t>The quizzes are a way to try to make sure that the students read the book.</t>
  </si>
  <si>
    <t xml:space="preserve"> if I give them five, if I give you five choices and they could be between zero and five, that are true statements with respect to this concept, it's not about memorization. It's about understanding.</t>
  </si>
  <si>
    <t>I give them five choices and they could be between zero and five, that are true statements with respect to this concept, it's not about memorization. It's about understanding.</t>
  </si>
  <si>
    <t>if the exam is in presence, then I don't care that much if, if they do the control that before, because ultimately they have to understand, I think that these quizzes to me have a specific objective.</t>
  </si>
  <si>
    <t>quizzes forces students to understand the concepts.</t>
  </si>
  <si>
    <t>I know certain topics become quite difficult because they cannot relate it to anything concrete.</t>
  </si>
  <si>
    <t>Certain topics become quite difficult because they cannot relate it to anything concrete.</t>
  </si>
  <si>
    <t>I have to do more of this, um, story telling. ... I'm trying to share my experience with the students.</t>
  </si>
  <si>
    <t>Use story telling to share experience with the students.</t>
  </si>
  <si>
    <t xml:space="preserve"> the students have to choose some topic and say, okay, we want to do a presentation on this topic. And that topic can be anything related to DevOps. And by DevOps, we mean basically automating the software process generally. </t>
  </si>
  <si>
    <t>the students have to choose some topic related to DevOps and to do a presentation on this topic.</t>
  </si>
  <si>
    <t>then do, um, do some research about it, write an essay or, uh, or if there is, um, there is a tool available, uh, on GitHub it's, if it's open source, they can contribute to that, uh, to that tool and maybe fix some issues and report it to the teachers.</t>
  </si>
  <si>
    <t>Do some research about DevOps topic, write an essay, and if the tool is open source, contribute to that tool and fix some issues and report it to the teachers.</t>
  </si>
  <si>
    <t>there are many too many tools and, uh, many of these tools are not solid yet.</t>
  </si>
  <si>
    <t>many tools and some are not solid yet.</t>
  </si>
  <si>
    <t xml:space="preserve">there are many tools and, uh, many of these tools on are not, uh, are not commonly used yet. </t>
  </si>
  <si>
    <t>many tools and some are not commonly used yet.</t>
  </si>
  <si>
    <t xml:space="preserve"> you can do many different things, but for the specific structure that we chose.</t>
  </si>
  <si>
    <t xml:space="preserve"> you have many options for the specific structure in the projects.</t>
  </si>
  <si>
    <t>everyone who wanted to present a tool or to do a demo or anything else they could give, uh, get some feedback from other students.</t>
  </si>
  <si>
    <t>students present a tool or do a demo to get some feedback from others.</t>
  </si>
  <si>
    <t xml:space="preserve"> we asked them to choose a tool, uh, on internet and new tool, and then use that tool and show other students how that works. So, uh, we didn't have some predefined, uh, projects.</t>
  </si>
  <si>
    <t>we didn't have predefined tool on projects.</t>
  </si>
  <si>
    <t xml:space="preserve"> we asked them to, um, to, if they wanted to do a tutorial on a tool, we ask them to upload that tutorial on, uh, Katacoda.</t>
  </si>
  <si>
    <t>ask the students to do a tutorial about a tool in Katacoda website to avoid environment setup issues.</t>
  </si>
  <si>
    <t>it didn't work for some specific tools that they wanted to present using this a katacoda, uh, website.</t>
  </si>
  <si>
    <t>Katacoda does not work for some specific tools.</t>
  </si>
  <si>
    <t>Change the requirements and the tools to solve the issues in environment setup.</t>
  </si>
  <si>
    <t xml:space="preserve">many of them did was to engage in the, uh, in the development process of the, uh, of the large projects that other people are working on. And, uh, they could choose a project, I think with more than a hundred stars. ...  And they had to make sure that they pass all the, uh, all the steps and they had to do some contributions, but to there, to those for repositories. And, uh, and they had to also engage in a conversation with other people from other teams, uh, in the process that, uh, they were, uh, making those contributions.
</t>
  </si>
  <si>
    <t>The students contribute and engage in the development process of the large projects with more than a hundred stars.</t>
  </si>
  <si>
    <t>engage in a conversation with TAs and other students to make sure everything's more work well.</t>
  </si>
  <si>
    <t xml:space="preserve"> the lectures were not, uh, were not presented by the teachers. They were presented by the people who are, who were from the industry and invited to the, uh, to the course to present something for students.</t>
  </si>
  <si>
    <t>the lectures are presented by people who were from the industry.</t>
  </si>
  <si>
    <t xml:space="preserve">we had a long Google doc that the students during the lectures and after the lectures, students could add their questions there. And then we, the TAs could answer the questions, uh, in the doc. </t>
  </si>
  <si>
    <t>Use Google doc during the lectures so students could add their questions. TAs could answer the questions in the doc.</t>
  </si>
  <si>
    <t xml:space="preserve">we had to check the, uh, check the github. And, um, students had, since they had to make some contributions, uh, we had to make sure that their contributions, uh, could pass all the checks that we had. </t>
  </si>
  <si>
    <t>TAs check if students contributions pass all the checks on the github.</t>
  </si>
  <si>
    <t xml:space="preserve">we invited people from the industry, and that was the only lectures that we had. ... So some students were a bit confused because of that, uh, because they didn't know the background. </t>
  </si>
  <si>
    <t>The students didn't know the background with people from the industry during the lectures.</t>
  </si>
  <si>
    <t xml:space="preserve"> if it was up to me, I would put some time to laying the background. And I'm talking about basics of DevOps and basics of some tools that are mainly used by everyone.</t>
  </si>
  <si>
    <t>TAs helped students with basics of DevOps concepts and tools.</t>
  </si>
  <si>
    <t>since the students were free to use any technology and present it ...  it was hard to stay as objective as possible and to have, uh, have the same criteria and metric for, uh, scoring different students, because someone was working on this project, someone was working on that project.</t>
  </si>
  <si>
    <t>It was hard to have the same criteria and metric for scoring different students because they were free to use any technology and present it.</t>
  </si>
  <si>
    <t xml:space="preserve">I think we will have, uh, we will, um, uh, rewrite some of the rules to make sure that, uh, students know how many points they get for what they do, uh, beforehand we should do it because, uh, it will not be perfect because students can choose many different things. </t>
  </si>
  <si>
    <t>Write some of the rules to make sure the students know how many points they get for what they do.</t>
  </si>
  <si>
    <t>I think the time that we had was actually enough, it was, I think about two months ... Students had, uh, four hours in each week and they had to work on the projects, um, as well.  ...  they had some information, some background about software engineering.</t>
  </si>
  <si>
    <t>Two months with four hours in each week is enough to students with some background about software engineering.</t>
  </si>
  <si>
    <t xml:space="preserve"> everything in this course was, uh, was, uh, done through the GitHub repository, there are many issues, there are many pull requests and the discussions between TAs and the students and grading everything is there.</t>
  </si>
  <si>
    <t>Use Github to record grading everything, pull requests and discussions between TAs and the students.</t>
  </si>
  <si>
    <t>they could contribute to some open source projects that are large projects and they are being used. So it's something that I'm looking for. Something we had some stats, uh, on github.</t>
  </si>
  <si>
    <t>Students could contribute to some open source projects that are large and being used and had more than one hundred stars.</t>
  </si>
  <si>
    <t>there are many checks in this course, we had to make sure that the students had done this and that, and that these, uh, checks could be, uh, automatized by your students. And they had, they added some GitHub actions and to the repository. So that's the course automation and executable tutorial was, uh, chatter, katacoda, um, website. They use the katacoda that website to, uh, to write a tutorial on a tool for them DevOps.</t>
  </si>
  <si>
    <t>The students write a tutorial about a DevOps tool on katacoda to describe the course automation check they did using github actions.</t>
  </si>
  <si>
    <t>, it was a bit risk because if they had contributed to something that, uh, that the developers didn't merge they wouldn't get, uh, get the score.</t>
  </si>
  <si>
    <t>The students wouldn't get the score if they had contributed to something that the developers didn't merge.</t>
  </si>
  <si>
    <t xml:space="preserve"> So I had to find one that was dying and, uh, hopefully the colleague who was handling his dying course forgot to answer to an email.</t>
  </si>
  <si>
    <t>Look for a dying course to include a DevOps one in the curriculum.</t>
  </si>
  <si>
    <t>we've done it with a software architect from IBM or the guy who was building, um, like as part of his industrial practice, he was building huge, uh, systems. He had a lot of story to tell to the students, and he had a lot of skills that she was able to, um, uh, transfer to the students and explain them how it works in real life.</t>
  </si>
  <si>
    <t>It is important to have industrial partnership to share skills that works in real life.</t>
  </si>
  <si>
    <t xml:space="preserve"> it was a, like an academy and industrial, um, course. So then the recommendations here at is what we've done was to, uh, really attach the course and the program to what's happening in the industrial scene.</t>
  </si>
  <si>
    <t>Create an academy and industrial course.</t>
  </si>
  <si>
    <t>how this practitioner really works, because if you're not doing this, then you will stay at a very technical level. Like you deploy a pipeline and you're doing DevOps, which is absolutely not the case. And that's absolutely not the, uh, understanding of what DevOps is.</t>
  </si>
  <si>
    <t>Students should understand how the pipeline deployment works and not just running it.</t>
  </si>
  <si>
    <t>you need to have people interacting with the students that are real DevOps practitioners.</t>
  </si>
  <si>
    <t xml:space="preserve"> the fact that DevOps is not just purely technical, it would be related to the fact that it's really complicated teach on a given semester because you have, let's say 13 to 15 weeks, three hours a week, and then you have to go through you can't address like large, large project because it doesn't fit in the semester.</t>
  </si>
  <si>
    <t>You can't address DevOps culture properly in 13 to 15 weeks three hours a week course.</t>
  </si>
  <si>
    <t xml:space="preserve"> So naturally naturally what DevOps is, uh, it's really complicated to make the students experience a cultural change and those kinds of things, because there's, well, there's no culture of, uh, industrial project in a school because it's academic project or it's teaching how to behave in a industrial project, </t>
  </si>
  <si>
    <t>It is hard to choose a large enough project to teach DevOps culture.</t>
  </si>
  <si>
    <t xml:space="preserve">there's a gap between what we can experiment during the course, what can be presented during the invited lecture from the industry, for example, those kinds of things and how, how whole, the things are connected together. </t>
  </si>
  <si>
    <t>There is a gap about how to connect the lectures with the labs.</t>
  </si>
  <si>
    <t xml:space="preserve">So we thought we were doing right, but after having discussed with industrial partners and practitioners, like not just discussed, you know, conference or attending a meetup, like really discussing for hours. </t>
  </si>
  <si>
    <t>Discuss the course with industrial partners and practitioners.</t>
  </si>
  <si>
    <t xml:space="preserve">So this guy was really half time IBM and half time in the faculty of engineering. </t>
  </si>
  <si>
    <t>Teachers could be half time indistrial and half time faculty.</t>
  </si>
  <si>
    <t xml:space="preserve"> I mean devops is always evolving and we are not what we consider DevOps here is different for, from what was considered DevOps, let's say five years ago. </t>
  </si>
  <si>
    <t>DevOps is always evolving fast.</t>
  </si>
  <si>
    <t xml:space="preserve">So it's constantly discussing and constantly sharing in an open way, uh, what's happening, how it's teach, uh, how it's story telling and how, how things are going. </t>
  </si>
  <si>
    <t>Constantly discuss and share the DevOps teaching in an open way.</t>
  </si>
  <si>
    <t>We try to use, um, like remote services to relieve the burden of setup saying that, okay, you're going to use Jenkins on the cloud. Then you're going to use, we have this partnership with IBM. So we're using to use the blue-J platform from, uh, IBM that was supporting this kind of thing, um, disaster, because in the end it was really complicated to debug what was happening because you don't have the access go on the what's happening.</t>
  </si>
  <si>
    <t>Using remote services blue-J platform is really complicated to debug what is happening because you don't have the access on the what's happening.</t>
  </si>
  <si>
    <t xml:space="preserve"> on premises, uh, version with our own, uh, systems for deployment building and everything, uh, another disaster, because then it requires a lot of maintenance and a lot of them, of course, or the students are going to work like in the two days before the room, the, um, the delivery of the project.
</t>
  </si>
  <si>
    <t>On premises systems for deployment everything is complicated because it requires a lot of maintenance and time.</t>
  </si>
  <si>
    <t>your Bamboo continuous to, uh, integration will just collapse because there's way too much students. My cohorts were 120 students a year. So when you have 120 students who all try to start their pipeline at the very same time, uh, in the last two days, and it's just a catastrophe and I mean, this thing will always happen.</t>
  </si>
  <si>
    <t>Bamboo continuous integration does not work with 120 students running pipeline at the very same time.</t>
  </si>
  <si>
    <t xml:space="preserve"> we've tried to let the students, uh, deal with the setup and, uh, install everything on their computer with Dockerizing stuff and scan things. And that was yet another disaster because then it's not reproducible and it works on their computer, but then it's really complicated to make it work on the TA.
</t>
  </si>
  <si>
    <t>Let the students deal with the setup of everything on their computers is not reproducible and is complicated to make it work on the teacher asssistent.</t>
  </si>
  <si>
    <t>we use the blueJ, uh, platform from, uh, IBM, that was really, everything was integrated and those kinds of things that was really good in a way,</t>
  </si>
  <si>
    <t>DevOps tools are well integrated in BlueJ platform.</t>
  </si>
  <si>
    <t xml:space="preserve"> mean, captive of their platform and you also have to sign with your blood and agreements that you're doing it for academic purposes and those kind of things, because IBM can be quite aggressive with their partnership, um, policies. So except that I had to sign something that was a little bit too much from my perspective, this kind of tooling was good.</t>
  </si>
  <si>
    <t>You should be careful with IBM agreements in academic purposes.</t>
  </si>
  <si>
    <t>let's go for something that we have more control on, uh, using for tools like Jenkins and and a stuff like Docker or Kubernetes was kind of good in a way to, uh, support the deployment and the, uh, like the building plus deployment stuff.</t>
  </si>
  <si>
    <t>Use tools like Jenkins and Docker and Kubernetes to have more control on support the deployment.</t>
  </si>
  <si>
    <t>it was a graduate course, I started not to, uh, enforce given tools ... I want you to have a version control system that should be git, but git up, gitlab Bitbucket, Bitbucket on premises. ...  you can justify and defend each step of what's happening to your code in the context of devops.</t>
  </si>
  <si>
    <t>Do not enforce given tools on a graduate course. The students should justify and defend each step of what's happening to their code in the context of devops.</t>
  </si>
  <si>
    <t xml:space="preserve">it's might be related to the, um, background of the students. ...  So there were like really few knowledge of what was happening in the industry. Like maybe a small internship, like two months or three months, a project are quite small scale at the, uh, bachelor level. </t>
  </si>
  <si>
    <t>In bacharel level the background of the students has few knowledge of what is happening in the industry.</t>
  </si>
  <si>
    <t xml:space="preserve"> when you're talking to freshmen and they have no idea what's happening. Like they have a superficial idea of what's happening. Then it's like finding a way to explain them why the mindset is important. </t>
  </si>
  <si>
    <t>Explain why the mindset is important to students that have a superficial idea of what is happening to industry.</t>
  </si>
  <si>
    <t>So keeping things up to date and making things work like really working in, in, in being able to run the labs, not in panic mode, that everything was fragile and everything was able to collapse at any point was really stressful. And of course, a lot of things, I think it costs me like twice or three times the cost of preparing a regular course.</t>
  </si>
  <si>
    <t>Keeping things up to date and making things working the labs is really stressful and time costing.</t>
  </si>
  <si>
    <t>to carefully select the, um, I, I have a lot of industrial, uh, practitioners, guest lectures. Uh, we, we, we had the one prof that wasn't industrial.</t>
  </si>
  <si>
    <t>It is difficult to select the industrial practitioners guest lectures.</t>
  </si>
  <si>
    <t xml:space="preserve">the bigger mistake I've made was to, uh, use a coach. Uh, and we invited him and the guy was, uh, setting himself running himself as a DevOps coach, but the guy just had written books and, uh, had no idea what he was talking about. </t>
  </si>
  <si>
    <t>Do not invite a DevOps coach to do DevOps lectures.</t>
  </si>
  <si>
    <t xml:space="preserve"> And it was selected by 80% of the cohort, which usually an elective course is like 20%. So is it like we had a lot of students inside these insights because they all wanted to learn about devops.</t>
  </si>
  <si>
    <t>DevOps course as elective course have students that wanted to learn about DevOps.</t>
  </si>
  <si>
    <t>we decided to go on a problem-based approach. ...  It was a student trying solve a problem and us guiding them into finding solution because that was a way to make them, um, uh, experience and interact with those kinds of process and understand and learn from their mistakes.</t>
  </si>
  <si>
    <t>On a problem-based approach the students trying solve a problem and us guiding them into finding solution because that was a way to make them experience and interact with those kinds of process and understand and learn from their mistakes.</t>
  </si>
  <si>
    <t>like theoretical exam point of view, we use the case studies. ... you have three hours explain what you do in this situation. ...  we were really grading half of the description and half of the justification</t>
  </si>
  <si>
    <t>We use the case studies in theoretical exam. Students have three hours to explain what they do in this situation. We were really grading half of the description and half of the justification.</t>
  </si>
  <si>
    <t xml:space="preserve">he grade scale was half description, half justification, and that's helped a lot, but it's always, um, qualitative in this way. It's, it's, it's really difficult to be quantitative and to have this, uh, uh, grade scale that is by the, uh, by the point. </t>
  </si>
  <si>
    <t>It is really difficult to be quantitative and to grade scale on the description and the justification of case studies.</t>
  </si>
  <si>
    <t xml:space="preserve"> what we've done in this case was to let the TA grade the projects, um, because then it was way more simple. And as the two props, we were, uh, grading the exams and were like cross validating.</t>
  </si>
  <si>
    <t>TA grade the projects and the professors grade the exams with cross validating.</t>
  </si>
  <si>
    <t xml:space="preserve">The course about, uh, software architecture and DevOps, or we're talking about a different way of architecting software, um, mainly distributed system, because it was easier for the DevOps parts who were triggered challenges was a distributed system.  ... And they had one, one lecture in the morning lecture slash lab and one lecture slash lab in the afternoon. And they were really like Friday was dedicated to DevOps slash uh, architecture.
</t>
  </si>
  <si>
    <t>The courses of software architecture and DevOps taught in the same day.</t>
  </si>
  <si>
    <t xml:space="preserve"> it's also something complicated because it's teaching at the undergrad program might make sense, but then it's other kinds of challenges like younger students who might not be interested in this.</t>
  </si>
  <si>
    <t>Younger students might not be interested in DevOps.</t>
  </si>
  <si>
    <t xml:space="preserve">is it mandatory to go through DevOps or is it like an option that an optional path that you're following is this kind of, uh, there is no consensus on, on those kinds of, um, uh, things.
</t>
  </si>
  <si>
    <t>There is no consensus if DevOps course is mandatory or optional.</t>
  </si>
  <si>
    <t>Pair</t>
  </si>
  <si>
    <t>Challenge / Recommendation 1</t>
  </si>
  <si>
    <t>Interview Quote 1</t>
  </si>
  <si>
    <t>Abstract 1</t>
  </si>
  <si>
    <t>Comment 1</t>
  </si>
  <si>
    <t>Challenge / Recommendation 2</t>
  </si>
  <si>
    <t>Interview Quote 2</t>
  </si>
  <si>
    <t>Abstract 2</t>
  </si>
  <si>
    <t>Comment 2</t>
  </si>
  <si>
    <t>Divergence</t>
  </si>
  <si>
    <t>Divergence handled by the pair</t>
  </si>
  <si>
    <t>Judge</t>
  </si>
  <si>
    <t>Judge Comments</t>
  </si>
  <si>
    <t>Judge Abstract</t>
  </si>
  <si>
    <t>R1 / R2</t>
  </si>
  <si>
    <t xml:space="preserve"> [...] um problema recorrente, é do nível que os alunos chegam pra você</t>
  </si>
  <si>
    <t>Insufficient knowledge level of students to start the course.</t>
  </si>
  <si>
    <r>
      <rPr>
        <rFont val="Arial"/>
        <color theme="1"/>
        <sz val="12.0"/>
      </rPr>
      <t xml:space="preserve">Difficulty </t>
    </r>
    <r>
      <rPr>
        <rFont val="Arial"/>
        <color rgb="FFFF0000"/>
        <sz val="12.0"/>
      </rPr>
      <t>to</t>
    </r>
    <r>
      <rPr>
        <rFont val="Arial"/>
        <color theme="1"/>
        <sz val="12.0"/>
      </rPr>
      <t xml:space="preserve"> configuring and setting up the infrastructure needed to run DevOps experiments.</t>
    </r>
  </si>
  <si>
    <t>R2 / R3</t>
  </si>
  <si>
    <t>Few computational resources for setting up scenarios close to real ones.</t>
  </si>
  <si>
    <t>R1 / R3</t>
  </si>
  <si>
    <r>
      <rPr>
        <rFont val="Arial"/>
        <color theme="1"/>
        <sz val="12.0"/>
      </rPr>
      <t xml:space="preserve">Even </t>
    </r>
    <r>
      <rPr>
        <rFont val="Arial"/>
        <color rgb="FFFF0000"/>
        <sz val="12.0"/>
      </rPr>
      <t>though</t>
    </r>
    <r>
      <rPr>
        <rFont val="Arial"/>
        <color theme="1"/>
        <sz val="12.0"/>
      </rPr>
      <t xml:space="preserve"> educational partnerships using private cloud providers by students could be limited.</t>
    </r>
  </si>
  <si>
    <t>In public clouds, teacher use of student resource management is not widely available.</t>
  </si>
  <si>
    <t>Cloud service companies such as AWS, through a contract with an educational institution, can provide the computing resource for the student's use.</t>
  </si>
  <si>
    <t xml:space="preserve">Quando não for possível obter os recursos necessários, delega-se para o aluno </t>
  </si>
  <si>
    <t>Delegate responsibility to the student.</t>
  </si>
  <si>
    <t>x</t>
  </si>
  <si>
    <t>segundo</t>
  </si>
  <si>
    <t>Build scenarios that students can run on their own computer.</t>
  </si>
  <si>
    <t>primeiro</t>
  </si>
  <si>
    <t>Give up teaching content that the students cannot run on their machine.</t>
  </si>
  <si>
    <t>Take advantage of the student's own computational resource and adapt to something that requires less computational demand.</t>
  </si>
  <si>
    <t>There is no taxonomy about what are the main DevOps concepts.</t>
  </si>
  <si>
    <t>Define what are the devops concepts.</t>
  </si>
  <si>
    <t>You can't assess students' DevOps learning with a test, it's necessary to assess with projects, with some kind of hands-on activity.</t>
  </si>
  <si>
    <t>DevOps teaching with practical activities.</t>
  </si>
  <si>
    <t>DevOps teaching should be project-based.</t>
  </si>
  <si>
    <t>Create script for practical devops activities.</t>
  </si>
  <si>
    <t>The GNS3 tool is a potential candidate as a tool for teaching DevOps.</t>
  </si>
  <si>
    <t>Unknown specific devops educational supportive environment.</t>
  </si>
  <si>
    <t>Ansible as deployment automation tools can be used in teaching DevOps.</t>
  </si>
  <si>
    <r>
      <rPr>
        <rFont val="Arial"/>
        <color theme="1"/>
        <sz val="12.0"/>
      </rPr>
      <t xml:space="preserve">Terraform as a deployment automation tool can be used </t>
    </r>
    <r>
      <rPr>
        <rFont val="Arial"/>
        <color rgb="FFFF0000"/>
        <sz val="12.0"/>
      </rPr>
      <t>to teach</t>
    </r>
    <r>
      <rPr>
        <rFont val="Arial"/>
        <color theme="1"/>
        <sz val="12.0"/>
      </rPr>
      <t xml:space="preserve"> devops.</t>
    </r>
  </si>
  <si>
    <t>[...] pra mim a abordagem, do ponto de vista de método de ensino, seria realmente baseado em projetos e com atividades práticas ao longo da disciplina.</t>
  </si>
  <si>
    <t>Utilização do método de ensino baseado em projetos e atividades práticas.</t>
  </si>
  <si>
    <t>Incremental teaching method based on projects and practical activities.</t>
  </si>
  <si>
    <t>Balance the presentation of the concepts and the practicals.</t>
  </si>
  <si>
    <t>Do not delve so deeply into discussions about the theoretical part of devops.</t>
  </si>
  <si>
    <t>The practical part must occupy at least 80% of the class.</t>
  </si>
  <si>
    <t>Insufficient time to address extensive DevOps knowledge in a limited-hour curriculum.</t>
  </si>
  <si>
    <t>Divide the workload of subjects that are related to networking and programming.</t>
  </si>
  <si>
    <t>Difficulty in getting authorization and lab resources from the institution to install tools in order to setup a DevOps environment.</t>
  </si>
  <si>
    <t>Por causa de falta autorização, teve que delegar ao aluno a criação de seu próprio ambiente</t>
  </si>
  <si>
    <t>There was no automated environment setup tool to support the student.</t>
  </si>
  <si>
    <t>Ausência de uma ferramenta de configuração de ambiente.</t>
  </si>
  <si>
    <t>There was no script for the student on how to install the tools used during the course.</t>
  </si>
  <si>
    <t>Difficulty in setting up the infrastructure.</t>
  </si>
  <si>
    <t>Using a textbook as a basis and to give students a better idea of the sequence of the course contents.</t>
  </si>
  <si>
    <t>Literature in the area of ​​enterprise systems related to DevOps is insufficient.</t>
  </si>
  <si>
    <t>Combine the various materials and publications available to make up for the lack of a unified, complete, and high-level material.</t>
  </si>
  <si>
    <t>Seeking balance in teaching development and operation.</t>
  </si>
  <si>
    <t>o aluno tem dificuldade em perceber a importãncia do monitoramento do sistema</t>
  </si>
  <si>
    <t>It is difficult to make the student face teaching scenarios with a more professional perspective, with production-level monitoring.</t>
  </si>
  <si>
    <t>Work on improving students' skills related to non-functional requirements.</t>
  </si>
  <si>
    <t>Use of a learning tool to facilitate understanding of the concept of Continuous Integration.</t>
  </si>
  <si>
    <t>Difficulty in teaching the student how to operate the system, allowing the addition of new features without breaking the system.</t>
  </si>
  <si>
    <t>Using a learning tool helps in DevOps teaching.</t>
  </si>
  <si>
    <t>Utiliza-se diversas tecnologias para a parte de conteinização e frameworks de desenvolvimento</t>
  </si>
  <si>
    <t>DevOps deserves a discipline in the curriculum.</t>
  </si>
  <si>
    <t>Be concerned with the course's curriculum, maintaining and creating DevOps disciplines.</t>
  </si>
  <si>
    <t>Evaluate level of participation and difficulty of students in teamwork.</t>
  </si>
  <si>
    <t>Monitoring of students through activities in a learning support environment.</t>
  </si>
  <si>
    <t>Prefer practical assessments to written tests in order to verify student learning on the subject.</t>
  </si>
  <si>
    <t>Difficulty in assessing students' understanding of Continuous Delivery.</t>
  </si>
  <si>
    <t>The environment adopted by instructors can frighten students by making them migrate to other tools.</t>
  </si>
  <si>
    <t>When using a tool to help teach, you must have a good command of it and the necessary permissions/accompaniment of someone with such permissions to deal well with the possible difficulties during its use in the discipline.</t>
  </si>
  <si>
    <t>Ask students to adopt the tools used by instructors.</t>
  </si>
  <si>
    <t>Initial difficulty using the Docker container tool.</t>
  </si>
  <si>
    <t>Students' initial difficult at having to switch from tools in which their applications were already working to the one adopted by the instructor.</t>
  </si>
  <si>
    <t>The student has difficulty realizing the importance of setting the environment.</t>
  </si>
  <si>
    <t>Difficulty in making clear to students the importance of having a more realistic perspective of production.</t>
  </si>
  <si>
    <t>Dificuldade em encontrar um livro de referência educacional para a área DevOps</t>
  </si>
  <si>
    <t>Difficulty for students to practice the concept of Continuous Delivery when it is necessary to add new features to the system without the build breaking.</t>
  </si>
  <si>
    <t>DevOps deserves a discipline in the curriculum of courses focused on software development.</t>
  </si>
  <si>
    <t>A discipline must have a considerable workload to centralize and harmonize development and operation information.</t>
  </si>
  <si>
    <t>Socializing knowledge acquired in practical activities is essential for learning.</t>
  </si>
  <si>
    <t>Adopt a more professional approach in which teachers act as clients.</t>
  </si>
  <si>
    <t>There are many tools for working with DevOps.</t>
  </si>
  <si>
    <t>Difficulty in making the association between theory and practice.</t>
  </si>
  <si>
    <t>The Continuous Integration and industry tools must be in the curricula.</t>
  </si>
  <si>
    <t>Difficulty in structuring classes due to lack of reference material.</t>
  </si>
  <si>
    <t>Use a practical approach.</t>
  </si>
  <si>
    <t>You can use the same discipline of DevOps for operation groups focused on safety and development groups.</t>
  </si>
  <si>
    <t>Teach the part of cloud vulnerability, architecture, and network management to the security classes in DevOps.</t>
  </si>
  <si>
    <t>Teach continuous delivery in a more practical context for development classes, using tools and delivery models.</t>
  </si>
  <si>
    <t>Identify the most compatible DevOps scope for each class.</t>
  </si>
  <si>
    <t>Identificar o escopo DevOps mais compatível com cada turma. Por exemplo: se o grupo for composto mais de desenvolvedores, então é interessante que eles aprendam mais sobre operação, e vice-versa.</t>
  </si>
  <si>
    <t>O principal desafio é que, em geral, as ferramentas relacionadas com DevOps são sistemas baseados em nuvem[...]</t>
  </si>
  <si>
    <t>Many DevOps tools are cloud based.</t>
  </si>
  <si>
    <t>Muitas ferramentas DevOps baseadas em nuvem.</t>
  </si>
  <si>
    <t>Standardize the use of tools in a well-defined setting.</t>
  </si>
  <si>
    <t>Padronizar o uso de ferramentas em um cenário bem definido.</t>
  </si>
  <si>
    <t>Make an example to the student in a practical context from the initial stage to the final step.</t>
  </si>
  <si>
    <t>Deixar claro ao aluno um exemplo em contexto prático da etapa inicial até a etapa final.</t>
  </si>
  <si>
    <t>Difficulty to teach the DevOps culture.</t>
  </si>
  <si>
    <t>Dificuldade em ensinar a cultura DevOps.</t>
  </si>
  <si>
    <t>o aluno espera [...] aprender aquela ferramenta matadora, que ajudará no contexto prático da vida dele, seja em processo de desenvolvimento, segurança ou operações.  [...] quer conhecer as ferramentas muito mais do que entender a cultura DevOps.</t>
  </si>
  <si>
    <t>Students have a prior concept that DevOps is restricted to the use of tools, not being interested in the cultural part of DevOps.</t>
  </si>
  <si>
    <t>Alunos possuem conceito prévio de que DevOps restringe-se à utilização de ferramentas.</t>
  </si>
  <si>
    <t>It is important to teach concepts such as observability and other cultural aspects such as sharing and communication.</t>
  </si>
  <si>
    <t>Introduce well-established concepts by the DevOps community, such as the DevOps pipeline process.</t>
  </si>
  <si>
    <t>Apresentar conceitos bem estabelecidos pela comunidade devops como o processo de devops.</t>
  </si>
  <si>
    <t>Present the use case of devops, for example, the elimination of silos among the development team.</t>
  </si>
  <si>
    <t>Apresentar caso de uso de devops onde por exemplo, houve eliminação de silos entre a equipe de desenvolvimento e a equipe de operação.</t>
  </si>
  <si>
    <t>Start teaching DevOps from the culture. Only then demonstrate with tools.</t>
  </si>
  <si>
    <t>Iniciar a ensinar DevOps a partir da cultura. Só depois demonstrar com ferramentas.</t>
  </si>
  <si>
    <t>Many DevOps tools and usability available.</t>
  </si>
  <si>
    <t>Muitas ferramentas DevOps e possibilidades de utilização disponíveis.</t>
  </si>
  <si>
    <t xml:space="preserve">O desafio nesse aspecto refere-se [..] a questão dos laboratórios  [...]  mas você acaba sempre por uma questão de tempo versus desenvolvimento da aula </t>
  </si>
  <si>
    <t>Limitation of the development of laboratory practices in class due to the short time.</t>
  </si>
  <si>
    <t>Limitação do desenvolvimento das práticas de laboratórios em aula devido ao pouco tempo.</t>
  </si>
  <si>
    <t>Delimit a specific set of tools to build a scenario in order to demonstrate a concept to be taught.</t>
  </si>
  <si>
    <t>Delimitar um conjunto específico de ferramentas para montar um cenário, a fim de demonstrar um conceito a ser ensinado.</t>
  </si>
  <si>
    <t>All three main cloud providers have an education-oriented version.</t>
  </si>
  <si>
    <t>Aproveitar bastante as ferramentas gratuitas e que estão disponíveis no mercado como provedoras de nuvem públicas</t>
  </si>
  <si>
    <t>Search for references from practical contexts experienced by students to easy the understanding, using popular tools.</t>
  </si>
  <si>
    <t>Buscar referências de contextos práticos vividos pelos alunos para facilitar o entendimento, como o uso de ferramentas populares</t>
  </si>
  <si>
    <t>Difficulty dealing with assessments based on a traditional test model.</t>
  </si>
  <si>
    <t>Dificuldade em lidar com avaliações baseadas em um modelo tradicional de prova.</t>
  </si>
  <si>
    <t>Prefer assessment based on practical projects.</t>
  </si>
  <si>
    <t>Preferir avaliação baseada em projetos práticos.</t>
  </si>
  <si>
    <t>Adapt the course according to the profile of students.</t>
  </si>
  <si>
    <t>Create mutations in the menu due to the breadth of DevOps encompassing the development, operation, and security part.</t>
  </si>
  <si>
    <t>Criar mutações na ementa devido a amplitude de devops englobando a parte de desenvolvimento, operação e segurança.</t>
  </si>
  <si>
    <t>Teach devops in a practical way by applying it.</t>
  </si>
  <si>
    <t>Ensinar devops de forma prática, aplicando-a.</t>
  </si>
  <si>
    <t>Identify the market use cases of devops such as the Google case and the relationship between DevOps and the SRE professional to illustrate the importance of DevOps concepts.</t>
  </si>
  <si>
    <t>Identificar os cenários de uso de mercado de devops a exemplo do caso da Google e a relação entre DevOps e do profissional de SRE para ilustrar a importância dos conceitos DevOps.</t>
  </si>
  <si>
    <t>The teaching of devops is multidisciplinary, covering different areas such as development, safety and operation.</t>
  </si>
  <si>
    <t>Os conceitos DevOps são amplos, englobam áreas diferentes entre desenvolvimento, segurança e operações.</t>
  </si>
  <si>
    <t>Half of the curriculum with DevOps concepts/culture. Half the curriculum with tools.</t>
  </si>
  <si>
    <t>There is a greater difficulty in understanding devops by students whose background is more academic, who have no experience in software development or direct operation.</t>
  </si>
  <si>
    <t>Há uma maior dificuldade entendimento de devops por parte dos alunos cuja formação é mais acadêmica, que não tenham experiência na parte de desenvolvimento de software ou operação diretamente.</t>
  </si>
  <si>
    <t>It is difficult to teach students with more academic training that have no experience in software development or operation directly.</t>
  </si>
  <si>
    <t>Há uma maior dificuldade no ensino por parte dos professores para alunos voltados a formação mais acadêmica que não tenham experiência na parte de desenvolvimento de software ou operação diretamente.</t>
  </si>
  <si>
    <t>For project management class, it is necessary to introduce DevOps through direct analogies or using scenarios known to them during teaching.</t>
  </si>
  <si>
    <t>The teacher needs good technical knowledge in the areas of security (especially vulnerability management) and systems development to teach DevSecOps.</t>
  </si>
  <si>
    <t>O professor precisa de bom conhecimento técnico nas áreas de segurança (em especial gestão de vulnerabilidades) e de desenvolvimento de sistemas para ensinar DevSecOps.</t>
  </si>
  <si>
    <t>Emphasize the importance of the DevOps culture and propagate it.</t>
  </si>
  <si>
    <t>Difficulty explaining to students that DevOps is not just about tools.</t>
  </si>
  <si>
    <t>During the explanation of how to apply devops methodology, make use of example including tools.</t>
  </si>
  <si>
    <t>Difficulty in explaining to students that DevOps is not just tooling, it encompasses the cultural part.</t>
  </si>
  <si>
    <t>Dificuldade em explicar aos alunos que DevOps é algo não apenas ferramental, abrangendo a parte cultural</t>
  </si>
  <si>
    <t>Difficulty in knowing how to deal with groups of students who have very different experiences.</t>
  </si>
  <si>
    <t>X</t>
  </si>
  <si>
    <t xml:space="preserve">Como as pessoas ficam remotas, basicamente, pros treinamentos, são vários fatores que influenciam a didática. O ambiente da casa, mesmo, que a pessoa, às vezes, não mora sozinha, ou tem filhos, filhas. Isso não é um problema pra gente, pra eu, professor, como professor, mas pra pessoa, às vezes, não pode abrir uma câmera. Não consegue fazer uma então, lidar com essas diferenças dentro da pandemia é importante. Não é um problema, mas é um ponto de e também as diferenças das da infraestrutura que a pessoa tem pra fazer o curso. Uma máquina um pouco mais nova, mais antiga, pré-configurada pro trabalho, tem tem empresas que já deixam a máquina pronta pro dia a dia e o curso usa outras configurações que são desafios que a gente tem com os alunos pra falar, olha, preciso de uma versão X, da e a pessoa não tem a permissão de instalação. 
</t>
  </si>
  <si>
    <t>Difficulties in remote work with students: privacy, availability, infrastructure differences, environment configuration.</t>
  </si>
  <si>
    <t>Dificuldades do trabalho remoto com os alunos: privacidade, disponibilidade, diferenças de infraestrutura, configuração de ambiente.</t>
  </si>
  <si>
    <t>é o desafio cultural mesmo de eu não vou entregar uma receita pronta...</t>
  </si>
  <si>
    <t>There is no ready-made recipe to teach the DevOps mindset (culture).</t>
  </si>
  <si>
    <t>Não há receita pronta para ensinar o mindset (cultura) DevOps.</t>
  </si>
  <si>
    <t>Use different tools and methodologies.</t>
  </si>
  <si>
    <t>Utilizar ferramentas e metodologias diversas.</t>
  </si>
  <si>
    <t xml:space="preserve"> E DevOps muito em enxergar isso, elas têm background diferentes, elas têm histórias de vida diferente, experiências que marcaram elas de maneiras distintas e saber na hora de apresentar uma ferramenta nova, ouvir o que essas pessoas têm.</t>
  </si>
  <si>
    <t>We seek a communication between students and teachers, where attention is paid to the students' opinions.</t>
  </si>
  <si>
    <t>Buscar um cultura de comunicação entre aluno e professor, onde se presta atenção na opinião dos alunos.</t>
  </si>
  <si>
    <t>During the explanations, make use of the difficulties, opinions and experiences faced by the students, pointing out solutions using Devops.</t>
  </si>
  <si>
    <t>Então, se alguma pessoa teve uma experiência mais traumática em tal etapa do processo de entrega, você saber usar isso na hora certa com ela e personificar com ela, falar, olha, como você me disse naquela parte, uma solução que talvez funcionaria pra você, de novo, porque não tem solução pronta, seria aplicar essa tecnologia para tentar mitigar ou resolver. Então, a dica seria, enxergar os alunos, porque na maioria deles, eles já trabalham como atores importantes, mas do que o conteúdo.</t>
  </si>
  <si>
    <t>Durante as explicações, fazer uso da dificuldades, opiniões e experiências enfrentadas pelos alunos, apontando soluções com uso de Devops.</t>
  </si>
  <si>
    <t>Students in a class have different backgrounds, life stories and experiences.</t>
  </si>
  <si>
    <t>Os alunos em uma turma possuem background, histórias de vida e experiências diferentes.</t>
  </si>
  <si>
    <t>Students may have learning difficulties due to their machine's capacity constraints.</t>
  </si>
  <si>
    <t>Alunos podem ter dificuldade no aprendizado devido à restrição na capacidade de sua máquina.</t>
  </si>
  <si>
    <t>It is challenging for students with an operating background to carry out software development activities, such as generating a build with the maven tool.</t>
  </si>
  <si>
    <t>É desafiante para alunos com background em operação a realização de atividades de desenvolvimento de software, como a geração de build com a ferramenta maven.</t>
  </si>
  <si>
    <t>Use student program cloud services like AWS, Google, Azure or IBM Cloud to eliminate hardware and network limitation for students.</t>
  </si>
  <si>
    <t>Usar serviços de nuvem como AWS, Google, Azure, IBM Cloud para eliminar limitação de hardware e rede dos alunos.</t>
  </si>
  <si>
    <t>Avoid using virtual machines because they demand hardware resources, which are not always available on the students' devices.</t>
  </si>
  <si>
    <t>Students may have limited internet access. It difficults activities such as downloading OS images to virtual machines.</t>
  </si>
  <si>
    <t>Use Terraform as a provisioning tool (Infrastructure as Code).</t>
  </si>
  <si>
    <t>Utilizar o Terraform como ferramenta de provisionamento (Infrastructure as Code).</t>
  </si>
  <si>
    <t>Difficulty balancing theory foundations and make them interesting in the practice.</t>
  </si>
  <si>
    <t>Dificuldade em balancear a teoria e a prática.</t>
  </si>
  <si>
    <t>Use practical examples regularly for the student to interact.</t>
  </si>
  <si>
    <t>Utilizar exemplos práticos regularmente para o aluno interagir.</t>
  </si>
  <si>
    <t>Interact with the student and break the tone of voice every 20 minutes, inhibiting their loss of attention.</t>
  </si>
  <si>
    <t>Interagir com o aluno e quebrar o tom de voz a cada 20 minutos, inibindo a sua perda de atenção.</t>
  </si>
  <si>
    <t>Use examples with students to teach theory. For instance, we are using blocks or Trello to teach Lean.</t>
  </si>
  <si>
    <t>Utilizar exemplos com os alunos para ensinar a teoria. Por exemplo, utilizar blocos ou o Trello para ensinar o Lean.</t>
  </si>
  <si>
    <t>Seek to know in advance the needs and limitations of the class, such as installing software, for example, to create a more efficient schedule.</t>
  </si>
  <si>
    <t xml:space="preserve">Buscar conhecer de antemão as necessidades e limitações da turma, como a instação de softwares, por exemplo, para a elaboração de um cronograma mais eficiente. </t>
  </si>
  <si>
    <t>For a scenario with limited resources, it is recommended to make use of public cloud services.</t>
  </si>
  <si>
    <t xml:space="preserve">Para um cenário com recursos limitados, recomenda-se fazer uso de serviços de nuvem pública </t>
  </si>
  <si>
    <t>Share course prerequisites with students in advance.</t>
  </si>
  <si>
    <t>Compartilhar com os alunos de antemãos os pré-requisitos do curso</t>
  </si>
  <si>
    <t>Create student support examples and guidelines, breaks into parts to go through the steps gradually.</t>
  </si>
  <si>
    <t>Simulate real problems that the student will likely face in their daily lives.</t>
  </si>
  <si>
    <r>
      <rPr>
        <rFont val="Arial"/>
        <color theme="1"/>
        <sz val="12.0"/>
      </rPr>
      <t>Eu prefiro tirar durante a aula para mostrar os os bloqueios do dia a dia que é a entrega no fim das contas. Mas a recomendação é usar os bloqueios de infraestrutura para você alimentar o seu curso, como didática. Você fala, olha, lembra o bloqueio que a gente teve? A dependência, o software é feito em Java 8 e a gente tentou compilar uma máquina que tinha Java 15. Está vendo esse problema? Como a gente resolve? A gente analisa, roda alguns frameworks de análise de processo, porque ferramenta a gente pode falar de qualquer linguagem, mas usar isso como experiência.</t>
    </r>
    <r>
      <rPr>
        <rFont val="Arial"/>
        <color theme="1"/>
        <sz val="12.0"/>
      </rPr>
      <t xml:space="preserve"> </t>
    </r>
  </si>
  <si>
    <t>Use the difficulties with infrastructure in favor of learning, conducting discussions among students.</t>
  </si>
  <si>
    <t>Utilizar as prováveis dificuldades com infraestrutura a favor do aprendizado, alimentando discurssões entre os alunos</t>
  </si>
  <si>
    <t>There is a specific support team to answer students' questions about the related infrastructure part.</t>
  </si>
  <si>
    <t>Avoid messing around with specific problems faced by students, dealing in a personalized way at the right time.</t>
  </si>
  <si>
    <t xml:space="preserve">Uma ferramenta de tracking de tarefas, de task. Aí, pode ser o Notion ou o Trello, acho que é básico. </t>
  </si>
  <si>
    <t>Use a task tracking tool like Trello or Notion.</t>
  </si>
  <si>
    <t xml:space="preserve">Utilizar uma ferramenta de tracking de tarefas como Trello ou Notion. </t>
  </si>
  <si>
    <t>Use a streaming tool like Zoom, Google Meet, or Webex in remote learning scenario.</t>
  </si>
  <si>
    <t>Utilizar uma ferramenta de stream como o Zoom, Google Meet ou Webex,</t>
  </si>
  <si>
    <t>The Notion tool allows exporting to Markdown, enabling the versioning of documentation for each day of the course: all executed commands and additional content.</t>
  </si>
  <si>
    <t>Use a code repository tool like Gitlab or Github.</t>
  </si>
  <si>
    <t>Utilizar uma ferramenta de repositório de código como Gitlab ou Github.</t>
  </si>
  <si>
    <t xml:space="preserve">Use a Continuous Integration tool. in particular, Jenkins is open source and very widespread. </t>
  </si>
  <si>
    <t>Utilizar uma ferramenta de Integração Contínua. em particular, o Jenkins é open source e muito difundido.</t>
  </si>
  <si>
    <t xml:space="preserve">o Notion ou o Trello [...], você precisa ter uma ferramenta de duas vias, onde você e o aluno interajam. Não um Gist, por exemplo, porque o Gist, apesar de você conseguir liberar somente, porque o aluno precisa pôr o feedback dele lá também.  [...] Tem algumas tarefas que a gente monta lá, um post mortem do processo que falha, eu preciso de uma ferramenta de feedback que o aluno também interaja. </t>
  </si>
  <si>
    <t>Notion and Trello allow student and teacher interaction in two ways. Gist does not allow it.</t>
  </si>
  <si>
    <t>O Notion e o Trello permite a interação dos alunos e o professor em duas vias, inclusive em tarefas com post mortem. O Gist não permite.</t>
  </si>
  <si>
    <t>Então, eu costumo recomendar pros instrutores, eu faço e recomendo pros alunos quando eles vão compartilhar comigo. Diminuir a taxa de FPF, de compartilhamento de tela, porque isso é um bloqueio. O zoom usa o que ele pode, se você não limitar. Então, a gente limita dez FPS, por exemplo, para que eu não consuma demais a CPU minha, nem do aluno, porque eu tenho que corrigir, às vezes, o exercício do lado dele</t>
  </si>
  <si>
    <t>Limit the zoom FPS rate to 10, avoiding excessive student and instructor resource consumption.</t>
  </si>
  <si>
    <t>Limitar a taxa de FPS do zoom para 10, evitando o consumo excessivo de recurso do aluno e dos instrutores.</t>
  </si>
  <si>
    <t>Individually assess the student's progress throughout the course.</t>
  </si>
  <si>
    <t>Evaluate the course, performing an NPS (Net Promoter Score) with students.</t>
  </si>
  <si>
    <t>Avaliar o curso, realizando um NPS (Net Promoter Score) com os alunos.</t>
  </si>
  <si>
    <t>Teachers and monitors must not be present at the time of course evaluation by students.</t>
  </si>
  <si>
    <t>Professores e monitores da turma não devem estar presentes no momento da avalição do curso por parte dos alunos.</t>
  </si>
  <si>
    <t>Record a training for the teacher to assess language addiction and whether the class flowed as planned.</t>
  </si>
  <si>
    <t>It is essential to mix the teaching of the theoretical part and the practical part of DevOps.</t>
  </si>
  <si>
    <t>É importantíssimo mesclar o ensino da parte teórica e da parte prática de devops.</t>
  </si>
  <si>
    <t>Teach the DevOps culture: respect the individualities of your team, not looking for blame, but for solutions.</t>
  </si>
  <si>
    <t>Ensinar a cultura DevOps: respeitar as individualidades do seu time, não se busca culpados e sim soluções.</t>
  </si>
  <si>
    <t>In the theoretical part of DevOps, Lean, Kaisen, and Agile should be taught.</t>
  </si>
  <si>
    <t>Na parte teórica de DevOps, deve-se ensinar Lean, Kaisen e Agile.</t>
  </si>
  <si>
    <t>Make software from start to finish, going through the DevOps steps to the monitoring step.</t>
  </si>
  <si>
    <t>Fazer um software do início ao fim, passando pelas etapas de devops até a etapa de monitoramento.</t>
  </si>
  <si>
    <t>Use Jenkins to do continuous integration.</t>
  </si>
  <si>
    <t>Utilizar o Jenkins para realizar a integração contínua do software.</t>
  </si>
  <si>
    <t>Perform continuous delivery through virtual machines or with Docker.</t>
  </si>
  <si>
    <t>Realizar a entrega contínua através de máquinas virtuais ou com Docker.</t>
  </si>
  <si>
    <t>Use Grafana and Prometheus as monitoring tools.</t>
  </si>
  <si>
    <t>Utilizar Grafana e Prometheus como ferramentas de monitoramento.</t>
  </si>
  <si>
    <t>Use a complete example project from places such as a java discussion forum.</t>
  </si>
  <si>
    <t>Utilizar um projeto de exemplo completo oriundo de locais como fórum de discussão em java.</t>
  </si>
  <si>
    <t>Carry out the following practical activities during the course: the first step is to decouple the database connection from the system code, then version the code with Git, insert continuous integration with Jenkins, and finish with constant delivery using public cloud services or tools with Ansible.</t>
  </si>
  <si>
    <t>Realizar as seguintes atividades práticas durante o curso: a primeira etapa é realizar o desacoplamento da conexão do banco de dados do código do sistema, então versionar o código com Git, inserir integração contínua com ferramentas como o Jenkins e finalizar com entrega contínua com uso de serviços de nuvem pública ou ferramentas com o Ansible.</t>
  </si>
  <si>
    <t>a gente precisa se adaptar ao ambiente e tentar, a cada vinte a trinta minutos, interagir com o aluno, para que ele faça algo para manter a atenção dele [...] Sempre propor os desafios</t>
  </si>
  <si>
    <t>Interact with the student to keep him alert, proposing challenges, for example.</t>
  </si>
  <si>
    <t>Interagir com o aluno para mantê-lo atento, propondo desafios, por exemplo</t>
  </si>
  <si>
    <t>Provide a comfortable learning environment for the student, such as remote teaching, which requires adequate audio and video equipment.</t>
  </si>
  <si>
    <t>Propriciar um ambiente de aprendizado confortável ao aluno, como por exemplo no contexto de ensino remoto, que faz-se necessário possuir equipamentos de áudio e vídeo adequados</t>
  </si>
  <si>
    <t>Show the student that there are several ways and tools to do the task.</t>
  </si>
  <si>
    <t>Mostrar ao aluno que existem várias formas e ferramentas para fazer a tarefa.</t>
  </si>
  <si>
    <t>Difficulty in monitoring and keeping in touch with all students effectively during remote learning classes.</t>
  </si>
  <si>
    <t>Dificuldade em acompanhar e manter contato com todos os alunos de forma efetiva durante as aulas do ensino remoto.</t>
  </si>
  <si>
    <t>Difficulty adjusting students' expectations, as most of them just want to use new tools.</t>
  </si>
  <si>
    <t>Difficulty in preparing classes with students at different levels of proficiency in development and operation.</t>
  </si>
  <si>
    <t xml:space="preserve">Dificuldade em preparar aula para turmas com alunos em diferentes níveis de proficiência em desenvolvimento e operação. </t>
  </si>
  <si>
    <t>Identify the students' initial level of knowledge to do the course. For example, check if students can run unit tests that will be used in the software build class.</t>
  </si>
  <si>
    <t>Precisa-se assumir um conhecimento mínimo na parte de operação e desenvolvimento, ou até mesmo nenhum, ao se ensinar DevOps</t>
  </si>
  <si>
    <t>DevOps disciplines should use hands-on activities.</t>
  </si>
  <si>
    <t>Disciplinas DevOps devem utilizar atividades práticas.</t>
  </si>
  <si>
    <t>Students' previous lack of knowledge makes learning difficult.</t>
  </si>
  <si>
    <t>Use a simple example system made by students.</t>
  </si>
  <si>
    <t>Utilizar um sistema simples de exemplo.</t>
  </si>
  <si>
    <t>Difficulty in understanding environment, tools and network configuration.</t>
  </si>
  <si>
    <t>Dificuldade de compreensão em configuração de ambiente, ferramentas e rede.</t>
  </si>
  <si>
    <t>Exercise as many tools as possible.</t>
  </si>
  <si>
    <t>There is no fully agreed community base text.</t>
  </si>
  <si>
    <t>Não existe texto base totalmente acordado pela comunidade.</t>
  </si>
  <si>
    <t>There are not so many scientific articles on which to base course preparation.</t>
  </si>
  <si>
    <t>Não há tantos artigos científicos em que possa se basear a preparação de cursos.</t>
  </si>
  <si>
    <t>Use various sources of DevOps study materials, such as gray literature, blog (medium, Nubank, Netflix).</t>
  </si>
  <si>
    <t>Utilizar várias fontes de materias de estudo DevOps, tais como literatura cinza, blog (médium, Nubank, Netflix).</t>
  </si>
  <si>
    <t>Deliver a ready-made sample system for students to use.</t>
  </si>
  <si>
    <t>Students build their own systems during the course in order to increase their understanding of automation.</t>
  </si>
  <si>
    <t>Os alunos constroem os próprios sistemas utilizados durante a disciplina, a fim de aumentar o entendimento sobre automação.</t>
  </si>
  <si>
    <t>There is difficulty for students to carry out the automation of the construction of systems used during the course.</t>
  </si>
  <si>
    <t>Há dificuldade por parte dos alunos em realizar a automação da construção dos sistemas utilizados durante a disciplina.</t>
  </si>
  <si>
    <t>Difficulty selecting an example system realistic enough for students to use during the course.</t>
  </si>
  <si>
    <t>Dificuldade em selecionar um sistema de exemplo realista o suficiente para os alunos utilizarem durante a disciplina.</t>
  </si>
  <si>
    <t>Using an example system designed by the teacher will give more confidence in supporting students during the course.</t>
  </si>
  <si>
    <t>Utilizar um sistema de exemplo elaborado pelo professor dará mais segurança no suporte aos alunos durante o curso.</t>
  </si>
  <si>
    <t>Lack of time for teachers to develop a ready-made and well-crafted example system.</t>
  </si>
  <si>
    <t>Difficulty for teachers to keep up with the state of the art in the industry.</t>
  </si>
  <si>
    <t>Difficulty supporting the use of several different tools and environments at the same time.</t>
  </si>
  <si>
    <t>Dificuldade em dar suporte ao uso de diversas ferramentas e ambientes diferentes ao mesmo tempo.</t>
  </si>
  <si>
    <t>Teach in a way that knowledge can be applied in different tools, but not focus on the possible specific problems of each technology.</t>
  </si>
  <si>
    <t>Ensinar de forma que  o conhecimento possa ser aplicado em diferentes ferramentas, porém não focar nos possíveis problemas específicos de cada tecnologia.</t>
  </si>
  <si>
    <t>Provide initial environment setup for students.</t>
  </si>
  <si>
    <t>Prover a configuração de ambiente inicial para os alunos.</t>
  </si>
  <si>
    <t>A lot of time preparing the initial environment setup of students.</t>
  </si>
  <si>
    <t>Dificuldade de tempo para preparar a configuração de ambiente inicial para os alunos.</t>
  </si>
  <si>
    <t>There is no unified material for teaching DevOps.</t>
  </si>
  <si>
    <t>Material unificado desconhecido para ensinar DevOps.</t>
  </si>
  <si>
    <t>It is necessary to make use of several sources when creating the course.</t>
  </si>
  <si>
    <t>Necessário fazer uso de várias fontes durante a montagem do curso.</t>
  </si>
  <si>
    <t>Version control with git feature branch workflow, build, continuous integration, and software testing content should be taught.</t>
  </si>
  <si>
    <t>Os conteúdos de controle de versão, build, integração contínua, gitflow e teste de software devem ser ensinados.</t>
  </si>
  <si>
    <t>Document the consulted material, facilitating future access.</t>
  </si>
  <si>
    <t>Difficulty in deciding which technologies to teach, given the wide variety available on the market.</t>
  </si>
  <si>
    <t>Use Jenkins, Travis CI, Circle CI and Github Actions in teaching continuous integration.</t>
  </si>
  <si>
    <t>Utilizar Jenkins, Travis CI, Circle CI e Github Actions como ferramentas para ensinar integração contínua.</t>
  </si>
  <si>
    <t>Teaching must be practical, not just theoretical.</t>
  </si>
  <si>
    <t>O ensino deve ser prático, não apenas téorico.</t>
  </si>
  <si>
    <t>o Jenkins vamos dizer assim, ele, apesar dele ser desafiador, porque ele não é a coisa mais fácil do mundo de configurar. Essas dores, eu também acho importante para a galera [...] o Jenkins você não paga nada [...] Essas dores, eu também acho importante para a galera quando pega algo um CI que funciona na nuvem e tal, perceber, poxa, olha só que que facilidade</t>
  </si>
  <si>
    <t>The difficulties of configuring CI tools like Jenkins are essential to student learning, facilitating a future transition to cloud CI tools.</t>
  </si>
  <si>
    <t>As dificuldades de configuração de ferramentas de CI como o Jenkins são importantes para o aprendizado do aluno, facilitando futura transição para utilizar ferramentas de CI de nuvem.</t>
  </si>
  <si>
    <t>Using cloud services more professionally requires payment at a commercial level.</t>
  </si>
  <si>
    <t>O uso de serviços de nuvem de forma mais profissional exige pagamento, em nível comercial</t>
  </si>
  <si>
    <t>Introduce students to minimal relevant tools and their tradeoffs.</t>
  </si>
  <si>
    <t>Apesentar aos alunos ferramentas relevantes e seu custo-benefício.</t>
  </si>
  <si>
    <t>Use Jenkins.</t>
  </si>
  <si>
    <t xml:space="preserve">Fazer uso do Jenkins </t>
  </si>
  <si>
    <t>Use assessment writing of basic concepts and DevOps culture so that students can express what they understand in their own words.</t>
  </si>
  <si>
    <t>Utilizar avaliação escrita dos conceitos básicos e da cultura DevOps, para que os alunos expressem o que entenderam com suas próprias palavras.</t>
  </si>
  <si>
    <t>Evaluate through practical exercises.</t>
  </si>
  <si>
    <t>There is a limited amount of time to teach the devops content.</t>
  </si>
  <si>
    <t>Há um carga horária limitada para ensinar os conteúdos devops.</t>
  </si>
  <si>
    <t>It is possible to break the teaching of DevOps into various disciplines in a DevOps specialization course.</t>
  </si>
  <si>
    <t>É possível quebrar o ensino de devops em várias disciplinas em curso de especiliazação em devops.</t>
  </si>
  <si>
    <t>There is no convention as to what are the main DevOps concepts that should be taught.</t>
  </si>
  <si>
    <t>Não há convenção sobre quais são os principais conceitos DevOps que devem ser ensinados.</t>
  </si>
  <si>
    <t>The basics of building, testing, deploying, and monitoring should be present in a DevOps course.</t>
  </si>
  <si>
    <t>Difficulty in resuming sufficient and suitable material for class lessons.</t>
  </si>
  <si>
    <t>Dificuldade em condensar um material suficiente e adequado para as aulas da turma.</t>
  </si>
  <si>
    <t>Students rely heavily on the teacher's slide material, which is often limited.</t>
  </si>
  <si>
    <t>Os alunos se baseam fortemente no material de slides do professor, que muitas vezes é limitado.</t>
  </si>
  <si>
    <t>Difficulty in being able to explain to the student that DevOps does not involve only the tooling part.</t>
  </si>
  <si>
    <t>Difficulty breaking through resistance to the DevOps culture and its principles.</t>
  </si>
  <si>
    <t>Dificuldade em romper a resistência à cultura DevOps e seus princípios.</t>
  </si>
  <si>
    <t>Difficulty breaking the student perspective that DevOps is just tools and automation.</t>
  </si>
  <si>
    <t>Dificuldade em quebrar a perspectiva do aluno de que DevOps é apenas ferramentas e automação.</t>
  </si>
  <si>
    <t>Difficulty contextualizing the DevOps culture.</t>
  </si>
  <si>
    <t>Dealing with the different experiences and perspectives of each student.</t>
  </si>
  <si>
    <t>Standardize the teaching material for all classes.</t>
  </si>
  <si>
    <t>Uniformizar o material didático para todas as turmas.</t>
  </si>
  <si>
    <t>Lots of DevOps content to teach with little time available (40 hours).</t>
  </si>
  <si>
    <t>Muito conteúdo DevOps para ensinar com pouco tempo disponível (40 horas).</t>
  </si>
  <si>
    <t>o treinamento é limitado [...] a gente vai ter que cortar, né? Foca em ferramentas, mas em quais ferramentas. Então, essa foi uma, um grande desafio, assim, pensar em quais temas são essenciais, quais ferramentas ensinar, dentro de cada tema, né?</t>
  </si>
  <si>
    <t>It is necessary to choose which topics and tools are essential as the course time is limited.</t>
  </si>
  <si>
    <t>É necessário escolher quais temas e ferramentas são essenciais devido ao tempo do curso ser limitado.</t>
  </si>
  <si>
    <t>Use the simplest tools chosen by the market as a method of selecting the tools that will be adopted during the course.</t>
  </si>
  <si>
    <t>Utilizar as ferramentas mais simples escolhidas pelo mercado como método de seleção das ferramentas que serão adotadas durante o curso.</t>
  </si>
  <si>
    <t>Difficulty in balancing the teaching of theory (culture) and practice (tools).</t>
  </si>
  <si>
    <t>Dificuldade em balancear o ensino da teoria (cultura) e da prática (ferramentas).</t>
  </si>
  <si>
    <t>The assembly of classes should follow the following steps to use DevOps: history, motivation, problems that can be solved, and possible solutions with DevOps.</t>
  </si>
  <si>
    <t>There are many DevOps tools.</t>
  </si>
  <si>
    <t>Teaching needs a practical project, not just theoretical teaching.</t>
  </si>
  <si>
    <t>O ensino necessita de projeto prático, não apenas ensino teórico.</t>
  </si>
  <si>
    <t>Use a programming language that the teacher knows.</t>
  </si>
  <si>
    <t>Utilizar uma linguagem de programação que o professor domine.</t>
  </si>
  <si>
    <t>Use tools while explaining the continuous integration concept.</t>
  </si>
  <si>
    <t>Utilizar ferramentas durante a explicação do conceito integração contínua.</t>
  </si>
  <si>
    <t>Research market tools on Twitter, discussion groups, Google Trends, as they are probably the tools that students are used to using and will take advantage of in their work.</t>
  </si>
  <si>
    <t>Pesquisar as ferramentas de mercado no Twitter, grupos de discussão, Google Trends, pois provavelmente são as ferramentas que os alunos estão acostumados a utilizar e aproveitarão em seus trabalhos.</t>
  </si>
  <si>
    <t>Monitor student progress throughout training by conducting a traditional assessment.</t>
  </si>
  <si>
    <t>Monitorar o avanço dos alunos ao longo do treinamento ao invés de realizar uma avaliação tradicional.</t>
  </si>
  <si>
    <t>Assess students through project and group exercises, more specifically the collaboration of each one within the group.</t>
  </si>
  <si>
    <t>Avaliar os alunos através de projeto e exercícios em grupos, mais especificamente a colaboração de cada um dentro do grupo.</t>
  </si>
  <si>
    <t>Contextualize the historical aspects and definition of continuous integration, continuous delivery, continuous deployment, and automation concepts.</t>
  </si>
  <si>
    <t>Contextualizar os aspectos históricos e definição dos conceitos integração contínua, entrega contínua, deploy contínua e automação.</t>
  </si>
  <si>
    <t>It is important to show the relationship of DevOps with software development models, notably Agile.</t>
  </si>
  <si>
    <t>Challenge to balance theory and practice.</t>
  </si>
  <si>
    <t>Desafio de conciliar teoria e prática.</t>
  </si>
  <si>
    <t>The DevOps concepts collaboration, communication and organization are difficult to assess due to the high degree of subjectivity.</t>
  </si>
  <si>
    <t>Os conceitos DevOps colaboração, comunicação e organização são difíceis de avaliar devido ao alto grau de subjetividade.</t>
  </si>
  <si>
    <t>Students find it difficult to configure the tools on their own machines in remote teaching mode.</t>
  </si>
  <si>
    <t>Os alunos tem dificuldade para configurar as ferramentas em suas próprias máquinas na modalidade de ensino remoto.</t>
  </si>
  <si>
    <t>Start a class with a pre-organized structure.</t>
  </si>
  <si>
    <t>Difficulty in structuring the learning journey.</t>
  </si>
  <si>
    <t>Dificuldade na estruturação da jornada de aprendizagem</t>
  </si>
  <si>
    <t>Teaching devops should be practical, not just theoretical.</t>
  </si>
  <si>
    <t>O ensino de devops deve ser prático, não apenas teórico</t>
  </si>
  <si>
    <t>Build an incremental teaching journey based on activities and missions, always combining practical activities with theoretical knowledge.</t>
  </si>
  <si>
    <t>Construir uma jornada de ensino incremental baseada em atividades e missões, sempre aliando as atividades práticas ao conhecimento teórico.</t>
  </si>
  <si>
    <t>Relate devops to site reliability engineering (sre) for students.</t>
  </si>
  <si>
    <t xml:space="preserve">Relacionar devops a site reliability engineering (sre) para os alunos </t>
  </si>
  <si>
    <t xml:space="preserve">e eu acho que prova não ia ser um negócio legal, senão ia ser mais ou menos certificação da, da AWS, por exemplo, do Azure, Google, e não é este propósito. [...] Fazer prova, escrita, aberta assim eu não gosto, eu não gosto do modelo de prova como avaliação, eu não acho que é legal, prefiro trabalhar com coisas mais práticas. </t>
  </si>
  <si>
    <t>The assessment must be practical.</t>
  </si>
  <si>
    <t xml:space="preserve">e eu acho que prova não ia ser um negócio legal, senão ia ser mais ou 
menos certificação da, da AWS, por exemplo, do Azure, Google, e não é 
este propósito. [...] Fazer prova, escrita, aberta assim eu não gosto, 
eu não gosto do modelo de prova como avaliação, eu não acho que é legal,
 prefiro trabalhar com coisas mais práticas. </t>
  </si>
  <si>
    <t>A avaliação deve ser prática</t>
  </si>
  <si>
    <t>Promote and evaluate students' independent decision-making in the learning process.</t>
  </si>
  <si>
    <t>There are many DevOps tools to choose from.</t>
  </si>
  <si>
    <t>São muitas ferramentas DevOps para escolher.</t>
  </si>
  <si>
    <t>não sobra tempo pra isso de, por exemplo, estruturar ambientes complexos [...]  eu sei que não é realidade no mercado, muito pouco são as empresas que eu vi, eu tive contato que montava o seu ambiente do zero na unha, num conjunto de servidores internos.</t>
  </si>
  <si>
    <t>Lack of time to structure more complex environments with students.</t>
  </si>
  <si>
    <t>Use available cloud services (AWS, Google) with Kubernetes.</t>
  </si>
  <si>
    <t>Utilizar serviços de nuvem disponíveis (AWS, Google) com Kubernetes.</t>
  </si>
  <si>
    <t>Show the historical importance of DevOps and SRE concepts from the main players in the industry.</t>
  </si>
  <si>
    <t>Mostrar a importância histórica dos conceitos DevOps e SRE a partir dos principais players na indústria.</t>
  </si>
  <si>
    <t>Information in gray literature is more interesting to illustrate DevOps use cases: posts on INFO2, Metzone, Hacker News, Twitter, Airbnb case studies, Glitch, Orbitz.</t>
  </si>
  <si>
    <t>Informações na literatura cinza são mais interessantes para ilustrar casos de uso DevOps: posts na INFO2, Metzone, Hacker News, Twitter, estudos de caso do Airbnb, Glitch, Orbitz.</t>
  </si>
  <si>
    <t>Make use of the Comprehensive Distance Learning (CDL) teaching methodology.</t>
  </si>
  <si>
    <t xml:space="preserve">Fazer uso das metodologia de ensino Comprehensive Distance Learning (CDL) e Problem-Based Learning (PBL).
 </t>
  </si>
  <si>
    <t>Problem-Based Learning (PBL) is great for teaching DevOps.</t>
  </si>
  <si>
    <t>It takes practice to understand DevOps concepts.</t>
  </si>
  <si>
    <t>É necessário praticar para entender os conceitos DevOps.</t>
  </si>
  <si>
    <t>There is no complete material to teach DevOps.</t>
  </si>
  <si>
    <t>Difficulty to create a teaching plan, especially connecting the covered subjects.</t>
  </si>
  <si>
    <t>Study the subject thoroughly before preparing for classes.</t>
  </si>
  <si>
    <t>Use dynamics to inspire the class.</t>
  </si>
  <si>
    <t>Use the most relevant tools on the market like Docker.</t>
  </si>
  <si>
    <t>Utilizar as ferramentas mais relevantas do mercado como o Docker.</t>
  </si>
  <si>
    <t>Initially, adopt more straightforward tools such as Mesos, Marathon, and Docker Swarm before using the Kubernetes tool.</t>
  </si>
  <si>
    <t>Adotar inicialmente ferramentas mais simples como Mesos, Marathon e Docker Swarm, antes utilizar a ferramenta Kubernetes.</t>
  </si>
  <si>
    <t>It is important to be up-to-date on industry tools every six months.</t>
  </si>
  <si>
    <t>É importante estar atualizado semestralmente com relação às ferramentas de indústria.</t>
  </si>
  <si>
    <t>If possible, have a team of monitors to assist in the assessment process.</t>
  </si>
  <si>
    <t>Large class assessment requires great effort.</t>
  </si>
  <si>
    <t>A avaliação de turma grandes demanda grande esforço</t>
  </si>
  <si>
    <t>Evaluate through practical challenges.</t>
  </si>
  <si>
    <t>Instigate students' critical thinking and encourage the self-taught search for extra-class information.</t>
  </si>
  <si>
    <t>Difficulty in setting up classes without a prior reference ones.</t>
  </si>
  <si>
    <t>Dificuldade em montar aulas sem uma disciplina de referência prévia.</t>
  </si>
  <si>
    <t>Use other DevOps courses as a reference.</t>
  </si>
  <si>
    <t>You can use the discipline that the interviewee professor Vinicius elaborated as a reference for the elaboration of other DevOps disciplines.</t>
  </si>
  <si>
    <t>Pode-se utilizar a disciplina que o entrevistado professor Dr. Vinicius elaborou como referência para a elaboração de outras disciplinas DevOps.</t>
  </si>
  <si>
    <t xml:space="preserve"> se você quiser uma disciplina meio híbrida, que você tem a teoria e prática aplicada, aí o desafio vai ser outro, aí cobre desde você ter ambiente para isso, você estruturar o ambiente, ou pensar em alguma coisa assim, até disponibilizar máquina virtual, </t>
  </si>
  <si>
    <t>Be concerned about the infrastructure used in the student's environment.</t>
  </si>
  <si>
    <t>Preocupar-se com a infraestrutura utilizada no ambiente do aluno na disciplina.</t>
  </si>
  <si>
    <t>teve época que eu combinava um conjunto de serviços gratuitos para serem utilizados, Heroku, eu combinava uns serviços gratuitos para rodar essas coisas. Já tive uma parceria pra usar fechado. [...] tem o Red Hat Academy, né, que você pode usar o OpenShift, e tudo mais no contexto do esforço que você quiser dar. Então, esse tipo de coisa ajuda bastante.</t>
  </si>
  <si>
    <t>Use private cloud services through academia-industry partnerships such as Red Hat Academy.</t>
  </si>
  <si>
    <t>Utilizar serviços gratuitos como o Heroku ou privados por meio de parcerias entre academia e indústria como o Red Hat Academy.</t>
  </si>
  <si>
    <t>Make use of Problem-Based Learning (PBL).</t>
  </si>
  <si>
    <t>Problem-Based Learning (PBL) é excelente para ensinar DevOps, apesar de ser difícil de utillzar pela primeira vez.</t>
  </si>
  <si>
    <t>Merge good practices of Problem-Based Learning (PBL), inverted class and Agile, through classroom experimentation.</t>
  </si>
  <si>
    <t>Mesclar boas práticas de Problem-Based Learning (PBL), aula invertida e Agile, através de experimentação em sala de aula.</t>
  </si>
  <si>
    <t>There is a very diverse and multidisciplinary knowledge in teaching DevOps.</t>
  </si>
  <si>
    <t>Há uma grande quantidade de conhecimento bastante diversa e multidisciplinar no ensino DevOps.</t>
  </si>
  <si>
    <t>Rapid and constant changes in DevOps make it difficult to create a teaching plan.</t>
  </si>
  <si>
    <t>As rápidas e constantes mudanças em DevOps dificultam a elaboração de um plano de ensino.</t>
  </si>
  <si>
    <t>Difficulty in linking DevOps classes with other subjects of interest to students.</t>
  </si>
  <si>
    <t>Dificuldade em relacionar as aulas DevOps com outras disciplinas de interesse dos alunos.</t>
  </si>
  <si>
    <t>Culture is difficult to teach.</t>
  </si>
  <si>
    <t xml:space="preserve">the only way to teach culture, the only way to experience culture is to immerse the students in the culture. [...] one of the examples I give to my students is I say, you know, I took three years of Spanish in high school and I don't speak a word of Spanish, but I bet if I spent a summer in Spain, I would come back speaking, fluent Spanish. So I tell them: "this class is your summer in Spain", right? We are going to live DevOps. We're going to experience DevOps. And that's the only way you can properly teach it. </t>
  </si>
  <si>
    <t>Live DevOps and its culture is the best way to learn it.</t>
  </si>
  <si>
    <t>Live DevOps and its culture is the best way to learn it</t>
  </si>
  <si>
    <t>Organize the students into teams of five.</t>
  </si>
  <si>
    <t>organize the students into teams of five</t>
  </si>
  <si>
    <t>Teach social coding.</t>
  </si>
  <si>
    <t>Teach git feature branch workflow.</t>
  </si>
  <si>
    <t>teach git feature branch workflow</t>
  </si>
  <si>
    <t xml:space="preserve">I tell them, I am not going to grade you on what you submit. I'm going to grade you on how you got there because getting there is not the point. It's the journey, right? That's the point. [...] I teach them that every failure is a learning opportunity. If you fail and you learn something, you get credit. It's not a failure because you've learned something, we're here to learn. </t>
  </si>
  <si>
    <t>Grade students based on their learning journey and mistakes, not on what they submit. What's important is how they get there, because every failure is learning opportunity.</t>
  </si>
  <si>
    <t>I teach my class in sprints. We do five, two weeks sprints in a 15-week course. I give them the requirements for each sprint, what I need them to build and I teach them how to do agile planning. Then they go build an agile plan.</t>
  </si>
  <si>
    <t>I teach my class in sprints. We do five, two weeks sprints in a 15-week course. And I give them the requirements for each sprint, what I need them to build. And I teach them how to do agile planning. And then they go build an agile plan.</t>
  </si>
  <si>
    <t>Teach just enough to get them going so they can learn in the right context.</t>
  </si>
  <si>
    <t>Teach just enough to get them going so they can learn in the right context .</t>
  </si>
  <si>
    <t>I teach them how to work as a DevOps team. And we create a slack channel. , and I create a channel for each one of the teams. And they're all collaborating in their channel. They have 24/7 access to me. They can ping me at any time on slack.</t>
  </si>
  <si>
    <t>I teach them how to work as a DevOps team. And they're all collaborating in their channel. They have 24/7 access to me. They can ping me at any time on slack.</t>
  </si>
  <si>
    <t>Don't give the solution right away, let them reach it first for themselves.</t>
  </si>
  <si>
    <t>Teach continuous integration using travis to automatically run the test cases.</t>
  </si>
  <si>
    <t>teach continuous integration using travis to automatically run the test cases.</t>
  </si>
  <si>
    <t>I'll have them run their test cases manually. And then when someone makes a pull request, I'm like, well, you need to clone that, run the test case. [...] And then [.. ] I show them how to [...] automatically run the test cases. [...] And so they write all the test cases. And then, and then I, I teach them about code coverage. I said, it's not about the test passing. If the code coverage go down, then somebody code it without writing a test case, don't merge that pull-request, right? So I'm teaching this whole culture, right? This way of working. [...] Then finally we push it to the cloud. We set up CD pipelines to deploy things in the cloud</t>
  </si>
  <si>
    <t>Write some tests cases manually, do pull requests, do test automation with CI, write all test cases, teach code coverage. Then finally setup CD pipeline to deploy the application in the cloud.</t>
  </si>
  <si>
    <t>Make students experiment situations where they can learn how to work as a DevOps team, how to work agile.</t>
  </si>
  <si>
    <t>Incentive professor-students interaction, easing fast solving questions.</t>
  </si>
  <si>
    <t>incentive professor-students interaction, easing fast solving questions.</t>
  </si>
  <si>
    <t>Teaching customized based on students background.</t>
  </si>
  <si>
    <t>teaching customized based on students background</t>
  </si>
  <si>
    <t xml:space="preserve"> you have to learn by doing </t>
  </si>
  <si>
    <t>It is necessary to practice DevOps knowledge.</t>
  </si>
  <si>
    <t>Teach each DevOps concept using one hour lecture followed by one hour and a half lab hands-on.</t>
  </si>
  <si>
    <t>Make the group motivation a responsibility of themselves, students should motivate each other.</t>
  </si>
  <si>
    <t>Make the group motivation a responsibility of themselves, students should motivate each other</t>
  </si>
  <si>
    <t>Teaching how to students mentor each other is one of the most important things and must be a priority.</t>
  </si>
  <si>
    <t>Living DevOps culture is most important than just learning DevOps tools.</t>
  </si>
  <si>
    <t xml:space="preserve">Living DevOps culture is most important than just learning DevOps tools </t>
  </si>
  <si>
    <t>It's hard to teach people with different backgrounds.</t>
  </si>
  <si>
    <t>Some people take a network course they know when IP addresses. Some people don't know what an IP address is.</t>
  </si>
  <si>
    <t>Some students don't know network concepts.</t>
  </si>
  <si>
    <t>It'd be great if there was a Cloud course before DevOps course.</t>
  </si>
  <si>
    <t>It's hard to deal with many options of tools.</t>
  </si>
  <si>
    <t>Use Linux operational system.</t>
  </si>
  <si>
    <t>We use Vagrant and VirtualBox. And so I don't care if you using windows or using Mac or whatever you're using.</t>
  </si>
  <si>
    <t>Do environment setup in the cloud is the best option because they are always consistent.</t>
  </si>
  <si>
    <t>What I would love to do is have an environment in the cloud. That's always consistent. That would kind of be the best.</t>
  </si>
  <si>
    <t>Environment set up in a cloud service cost money.</t>
  </si>
  <si>
    <t>I selected Vagrant and virtualbox because they're free.</t>
  </si>
  <si>
    <t>I selected docker docker because it is free.</t>
  </si>
  <si>
    <t xml:space="preserve">They call my repo, Vagrant up and they're up and running. And so that's how I solve that problem. Bigger. It does a very good job of solving that consistent environments for students. </t>
  </si>
  <si>
    <t>Make environment setup consistent between students using Vagrant.</t>
  </si>
  <si>
    <t>Uses Selenium to automate UI tests.</t>
  </si>
  <si>
    <t>uses Selenium to automate UI tests.</t>
  </si>
  <si>
    <t>Students could use other tools non-taught without professor support.</t>
  </si>
  <si>
    <t>Students could use other tools non taught without professor support.</t>
  </si>
  <si>
    <t>Use popular industry tools.</t>
  </si>
  <si>
    <t>Every semester is necessary to update tools used on course.</t>
  </si>
  <si>
    <t>Argo CD is a more current continuous delivery tool than Jenkins.</t>
  </si>
  <si>
    <t>Teach tools that will help to get a job.</t>
  </si>
  <si>
    <t>You have to find a set of tools that work together.</t>
  </si>
  <si>
    <t>It is difficult to students learning agile techniques like pair programming.</t>
  </si>
  <si>
    <t>is difficult to students learning agile techniques like pair programming.</t>
  </si>
  <si>
    <t>Teach Kanban board.</t>
  </si>
  <si>
    <t>teach Kanban board</t>
  </si>
  <si>
    <t>A lot of devops concepts are hard to teach in a classroom setting.</t>
  </si>
  <si>
    <t>a lot of devops concepts are hard to teach in a classroom setting.</t>
  </si>
  <si>
    <t>Grade based how the students working their tasks and not only what they are submitting.</t>
  </si>
  <si>
    <t xml:space="preserve">Get the students to be more social in their coding practices and do pair programming, and follow the get feature branch workflow. </t>
  </si>
  <si>
    <t>It's challenging for the students to be and to think agile into mininum viable product.</t>
  </si>
  <si>
    <t>it's challenging the students to be and to think agile into mininum viable product.</t>
  </si>
  <si>
    <t>It is challeging to verify if the students learn the devops process of working.</t>
  </si>
  <si>
    <t>Check if the the labs work well always before start the class.</t>
  </si>
  <si>
    <t>The cloud are constantly evolving and it breaks labs every semester.</t>
  </si>
  <si>
    <t>Use Zoom in remote learning scenario.</t>
  </si>
  <si>
    <t>It's hard to do hands-on on remote learning because the teacher can't see the students face.</t>
  </si>
  <si>
    <t>Teatcher assistence help students over slack managing questions.</t>
  </si>
  <si>
    <t>doing a hands-on class with that many (45) students is just physically challenging.</t>
  </si>
  <si>
    <t>Doing a hands-on class with that many (45) students is just physically challenging.</t>
  </si>
  <si>
    <t>Try to get the student having fun in order to keep them engaged.</t>
  </si>
  <si>
    <t>You don't need quizzes if you grade the students continuously watching their Kanban boards.</t>
  </si>
  <si>
    <t>50 multiple choice questions in one hour each exam if you are remote.</t>
  </si>
  <si>
    <t>Exams in remote class format are with the open book.</t>
  </si>
  <si>
    <t>For the assessment, the students can make mistakes in the beginning without fear of being penalized.</t>
  </si>
  <si>
    <t>for the assessment, the students can make mistakes in the beginning without fear of being penalized.</t>
  </si>
  <si>
    <t>Keep the questions mostly conceptual in the final exam. And questions about participation in the project.</t>
  </si>
  <si>
    <t>DevOps has too much contents and it's hard to fit it in a semester.</t>
  </si>
  <si>
    <t>No time to teach operations side.</t>
  </si>
  <si>
    <t>no time to teach operations side.</t>
  </si>
  <si>
    <t>Keep up with new technologies is challenging.</t>
  </si>
  <si>
    <t>Students who came from the area of ​​software engineering lack experience in operational activities</t>
  </si>
  <si>
    <t>There's a lack of reference on operations concepts.</t>
  </si>
  <si>
    <t>Teach operational activities is ignored because it is hard.</t>
  </si>
  <si>
    <t>Cloud computing make easier to stand up virtual machines.</t>
  </si>
  <si>
    <t>cloud computing make easier to stand up virtual machines.</t>
  </si>
  <si>
    <t>University labs have restrictions on installing tools.</t>
  </si>
  <si>
    <t>university labs have restrictions on installing tools.</t>
  </si>
  <si>
    <t xml:space="preserve">that is a lot of the devops principles that come into play. </t>
  </si>
  <si>
    <t>Many devops concepts need to be taught.</t>
  </si>
  <si>
    <t>Devops concepts like configuration management and contaizerization need examples with mininum scale and complexity.</t>
  </si>
  <si>
    <t>devops concepts like configuration management and contaizerization need examples with mininum scale and complexity.</t>
  </si>
  <si>
    <t>Realistic time constraints prejudice around what devops actually is.</t>
  </si>
  <si>
    <t xml:space="preserve"> People coming through the programs want to play with technology. ... But what that tends to foster is a technology centric attitude about what devops is all about. ... That's half the reason we got into this field in the first place, and it's a really fun thing to be able to do, but it's not sufficient.  </t>
  </si>
  <si>
    <t>Students came to course focused in the tools.</t>
  </si>
  <si>
    <t>students came to course focused in the tools.</t>
  </si>
  <si>
    <t>Make clear the importance of the DevOps mindset like continuous improvement in addition to using the tools.</t>
  </si>
  <si>
    <t>Differences in people's environments and their hardware configuration cause problems.</t>
  </si>
  <si>
    <t>Tool versions upgrades require updating the labs during the classes.</t>
  </si>
  <si>
    <t xml:space="preserve">I'm starting to do is to just build out images, for example, that contain everything that I want them to have. Uh, and that way I can tell them to spin up a virtual machine. </t>
  </si>
  <si>
    <t>Use imagens that contain everything that the teacher wants to teach to clone virtual machines.</t>
  </si>
  <si>
    <t>It is very dangerous to teach too many tools because it conveys that DevOps is a very technology centric approach.</t>
  </si>
  <si>
    <t>Use Github for academic use where you can set up GitHub classrooms.</t>
  </si>
  <si>
    <t>Compare and contrast the tools before to choice.</t>
  </si>
  <si>
    <t>compare and contrast the tools before to choice.</t>
  </si>
  <si>
    <t>Use cloud SAS providers to avoid spending a lot of time installations and configurations.</t>
  </si>
  <si>
    <t>Do not focus on unnecessary features of tools like avoid administering Jenkins if you want to practice continuous integration.</t>
  </si>
  <si>
    <t>Show the evolution of the tools like exposing from ant and maven to gradle tool in build managment.</t>
  </si>
  <si>
    <t>Teach how to set up a pipeline and explain how it works.</t>
  </si>
  <si>
    <t>Separate the dev and ops part into different courses.</t>
  </si>
  <si>
    <t>In devops course with dev and ops together, ops part are not touched because dev parts take a lot of time</t>
  </si>
  <si>
    <t>I will touch on, uh, database migrations. And so I may break out a tool like flyway to demonstrate how even databases are not necessarily exempt from being able to apply devops principles, including, you know, database infrastructure is covered and, and that sort of thing. So I cannot possibly get through everything.</t>
  </si>
  <si>
    <t>You cannot possibly get through everything in details.</t>
  </si>
  <si>
    <t>you cannot possibly get through everything in details</t>
  </si>
  <si>
    <t>Use representative open source industrial tools.</t>
  </si>
  <si>
    <t>Students are not at a level in the their companies where they can introduce DevOps mindset.</t>
  </si>
  <si>
    <t>students are not at a level in the their companies where they can introduce DevOps mindset.</t>
  </si>
  <si>
    <t>And that level of what you're trying to do is to build a business case for why you want that at all. And now you're starting to get a little bit around of the computer science and into around of business and being able to tie those two things together in such a way that you can sell it to an organization that would have to spend resources, people, time, energy, money, building out that kind of a technical pipeline, right? 
 ... you have to somehow sell them on why you should spend your sources doing that versus building a new feature or adding a new product or any one of a number of other competing priorities that the business has.</t>
  </si>
  <si>
    <t>Teach students to know how to sell DevOps benefits to their directors who are from the business area. For example, pipeline reduce developers work time and save money. You can also build a new feature or add a new product that the business has.</t>
  </si>
  <si>
    <t>teach students to know how to sell DevOps benefits to their directors who are from the business area. For example, pipeline reduce developers work time and save money. You can also build a new feature or add a new product that the business has.</t>
  </si>
  <si>
    <t>It is hard to do a business case to demonstrate the importance of running devops.</t>
  </si>
  <si>
    <t>It is difficult to keep up the current state of art of devops industry practices.</t>
  </si>
  <si>
    <t>The basic skeleton of the class does not change significantly because we focus on concepts and we focus on goals.</t>
  </si>
  <si>
    <t>It is hard to find strategies from industry unless if it written in a paper</t>
  </si>
  <si>
    <t>Use an incremental models with sprints</t>
  </si>
  <si>
    <t>Specify what projects the students will work and provide one or two small projects.</t>
  </si>
  <si>
    <t>specify what projects the students will work and provide one or two small projects</t>
  </si>
  <si>
    <t>Devops tools and APIs change fast and it may break your labs.</t>
  </si>
  <si>
    <t>Task done by students do not means that students learned correctly.</t>
  </si>
  <si>
    <t>Students can fix their code problems. In industry, we keep coding until it works. It also provides a little less pressure on students.</t>
  </si>
  <si>
    <t>Provide jump-starting examples of commonly used commands of tools.</t>
  </si>
  <si>
    <t>Some of this even goes down to git right, because a lot of people coming in know something about git a lot don't um, in many ways, my opinion, which I realize is, is probably not widely shared is that even if we were restricted from a software engineering department perspective, almost everything we're teaching should be retooled along devops lines, uh,</t>
  </si>
  <si>
    <t>Use git to teach how to manage the code.</t>
  </si>
  <si>
    <t xml:space="preserve"> For many people, getting them all to work together can be particularly challenging.</t>
  </si>
  <si>
    <t>For many people, getting all technologies to work together can be particularly challenging.</t>
  </si>
  <si>
    <t>Be a little bit more forgivable, understanding that for some people getting all the brand new technologies to work together can be really hard, so make it less stressful .</t>
  </si>
  <si>
    <t>Do not focus your assessment on right versus wrong answers.</t>
  </si>
  <si>
    <t>Students like to work on team projects.</t>
  </si>
  <si>
    <t>students like to work on team projects.</t>
  </si>
  <si>
    <t>The exams have more conceptual or philosophical elements.</t>
  </si>
  <si>
    <t xml:space="preserve">The challenge of course, is newer students obviously have more than enough to worry about just getting code wrong and compile. Uh, but that's, that's the reality, unfortunately, is the code just doesn't run a compile on a laptop, right? It runs out in production and it's serving real people. And in this day and age, there is, there is stuff that goes with that. And the more folks understand, at least some of the sooner, the better I hope the software will be.
</t>
  </si>
  <si>
    <t>It is difficult for students to understand the importance of if the software is correct, not just compilating.</t>
  </si>
  <si>
    <t>It is difficult for students to understand the importance the software running in production, not just compiling.</t>
  </si>
  <si>
    <t>Evaluate the single project of the students on the standpoint of the architecture and also from the angle of continous integration.</t>
  </si>
  <si>
    <t>Built a curriculum with DevOps and Software Architecture classes together, a single project, a single teaching team, but we evaluate on two angles.</t>
  </si>
  <si>
    <t>When you start teaching DevOps, it doesn't look relevant.</t>
  </si>
  <si>
    <t>when you start teaching DevOps, it doesn't look relevant.</t>
  </si>
  <si>
    <t>It is difficult to express and formalize DevOps concepts. There is not bulletproof in devops</t>
  </si>
  <si>
    <t>when you do continuous integration, you need to have a logical base. You need to have a lot of people committing in the code changes often. Um, you need to have a lot of machines. You have the machines where people are coding. You have the machines that are building, you have the machines that are the way you run your database. You have the machines where you deploy to. ... you need a lot of machines interconnected, um, with visibility on each other that they can get to.</t>
  </si>
  <si>
    <t>You need a lot of interconnected machines running different services with visibility on each other to do continous deployment.</t>
  </si>
  <si>
    <t>The academy has network limitations to create near-real infrastructure</t>
  </si>
  <si>
    <t>Students organized by groups.</t>
  </si>
  <si>
    <t>I ended up doing was to give each group a big virtual machine. And on that machine, they run three or four Docker images. Uh, one with Artifactory, one with Jenkins.</t>
  </si>
  <si>
    <t>Give each group a big virtual machine. And on that machine, run three or four Docker images. One with Artifactory, other with Jenkins.</t>
  </si>
  <si>
    <t xml:space="preserve"> Uh, so that's a practical challenge that when you want to put it in place, and as a teacher, you want to be able to log into all of those machines to see what they're doing. .</t>
  </si>
  <si>
    <t>It is difficult to build an enterprise environment into a university environment that is much more restrictive and doesn't have enough machines for them.</t>
  </si>
  <si>
    <t>Is not efficient to have more theoretical part than practice part during the course.</t>
  </si>
  <si>
    <t>DevOps concepts need to be shown in practice so that students can understand.</t>
  </si>
  <si>
    <t>It's hard for students to see the values of deployment side and they don't want to do operational activities.</t>
  </si>
  <si>
    <t>Um, we got bit by that quite a few times where we built the stack plus G unit plus, uh, we use, um, uh, some additional libraries for front-end, uh, some scripts for building Docker images, some version of Maven, and you need an Artifactory, et cetera. You can get everything set up, everything works fine up to June. Then you go on summer break and then the next session comes up in September and you use what you've built well, too bad. In the middle of the summer, Jay, you need to release a new version that requires where some acts of Maven that requires this version of the stack of the student install from scratch on their machine.</t>
  </si>
  <si>
    <t>Exercises can be outdated in few months.</t>
  </si>
  <si>
    <t>Show the operational constraints to students like coder will not get access to production environment.</t>
  </si>
  <si>
    <t>Teach DevOps giving the content gradually, like first teach compilation and testing, then continuous integration; do not give everything right away so easily.</t>
  </si>
  <si>
    <t>Use Jenkins through a Docker image.</t>
  </si>
  <si>
    <t>uses Jenkins through a Docker image</t>
  </si>
  <si>
    <t>Different types of OSs can difficult the flow of environment setup.</t>
  </si>
  <si>
    <t>Study the tools more when you go into the concepts. For example, deep Docker when you teach containers.</t>
  </si>
  <si>
    <t xml:space="preserve">Build something that is portable and something that can be broken down into several pieces where one student runs one bit and then another students runs the rest. </t>
  </si>
  <si>
    <t xml:space="preserve">in this year, if you do that, it's too early and it's going to be too hard for you as a teacher to, to know what's going on. So by forcing the technology stack and telling them, </t>
  </si>
  <si>
    <t>Force students to use technology stack used on course.</t>
  </si>
  <si>
    <t>Este entrevistado estava anteriormente dando total liberdade para escolha de architetura e tecnologias para os alunos. Mudou radicalmente.</t>
  </si>
  <si>
    <t>Use small projects with students.</t>
  </si>
  <si>
    <t>Create examples and guidelines to help students develop their solution based on it.</t>
  </si>
  <si>
    <t>create examples and guidelines to help students develop their solution based on it.</t>
  </si>
  <si>
    <t>I mean, they're free to do what they want from a functional standpoint in the project.</t>
  </si>
  <si>
    <t>It is necessary to give freedom to student develop their functional solution.</t>
  </si>
  <si>
    <t>it is necessary to give freedom to student develop their functional solution.</t>
  </si>
  <si>
    <t>but from a tools and technology, we force just on them to avoid too many variation between the groups.</t>
  </si>
  <si>
    <t>We force tools and tecnology and alert them to avoid too many variation between the groups.</t>
  </si>
  <si>
    <t>Students only understand problems of the environment setup when they experiment in the practice.</t>
  </si>
  <si>
    <t>Students only believe the importance of DevOps mindset when they experiment in the practice.</t>
  </si>
  <si>
    <t>what is hard is to be prepared with, um, a technology stack that is robust and simple or very simple so that you know exactly what you look when you help them debug.</t>
  </si>
  <si>
    <t>It is hard to prepare a robust and simple technology stack.</t>
  </si>
  <si>
    <t>It's mostly the preparation of the exercise that is demanding.</t>
  </si>
  <si>
    <t>The preparation of the exercise is demanding.</t>
  </si>
  <si>
    <t>Teach DevOps requires much knowledge from the professor who could not be familiar with it.</t>
  </si>
  <si>
    <t>Try to be very incremental. Everything on your desk first. Splits into several components. Build them one by one. Start working in group.</t>
  </si>
  <si>
    <t>Use MVP (Minimum viable product) evaluation to validate components of the project. Make an evaluation in the middle and the final course.</t>
  </si>
  <si>
    <t>Do many evaluations of students project along with the discipline. Use green, yellow or red flags to evaluate the group.</t>
  </si>
  <si>
    <t>It is arduous to analyse the code and run scripts for each project.</t>
  </si>
  <si>
    <t>It is difficult how to organize each sprint.</t>
  </si>
  <si>
    <t>Prepare students with previous courses.</t>
  </si>
  <si>
    <t xml:space="preserve">Some of them do have a lot of programming and are fairly mature, but because when we recruit, they be coming from different schools
</t>
  </si>
  <si>
    <t>Students have different backgrouds.</t>
  </si>
  <si>
    <t xml:space="preserve">we cannot make assumption on what they know. So we're trying to work without any assumption.
</t>
  </si>
  <si>
    <t>Do not make assumption about the learning level of the students when you have students with different levels.</t>
  </si>
  <si>
    <t>Students do not know that they will need DevOps concepts at industry every day.</t>
  </si>
  <si>
    <t>Now I realize every day that I need testing and continuous, I mean, Jenkins is my friend.</t>
  </si>
  <si>
    <t>Jenkins can be chosen as DevOps tool.</t>
  </si>
  <si>
    <t xml:space="preserve">we build Docker images. </t>
  </si>
  <si>
    <t>Docker can be chosen as DevOps tool.</t>
  </si>
  <si>
    <t>We show them Kubernetes.</t>
  </si>
  <si>
    <t>Kubernetes can be chosen as DevOps tool.</t>
  </si>
  <si>
    <t>They don't have time to practice on Kubernetes because it is lot of work.</t>
  </si>
  <si>
    <t>One semester is insufficient time to teach DevOps.</t>
  </si>
  <si>
    <t>Start with a generic perspective of DevOps, basic concepts, and after a few weeks start to focus on specialized issues.</t>
  </si>
  <si>
    <t>igual a 470</t>
  </si>
  <si>
    <t xml:space="preserve">  I spent a couple of discussing about the concepts discussing about the issues.
</t>
  </si>
  <si>
    <t>Promotes discussions about DevOps concepts and related issues.</t>
  </si>
  <si>
    <t>promotes discussions about DevOps concepts and related issues</t>
  </si>
  <si>
    <t>Make use of labs and lectures.</t>
  </si>
  <si>
    <t>The lab is like in the lab, because it's a very practical ...   we've implemented an application, uh, a web application, which, uh, in, currently we are using the application we use is a banking application. It is the online banking where people can go in and create an account or transfer between accounts and do all those kind of thing.</t>
  </si>
  <si>
    <t xml:space="preserve">So we employ someone in our team, a couple of people who work on implementing that, and we created some issues in the application, like some bugs. </t>
  </si>
  <si>
    <t>Try to simulate a real scenario employing someone in the group to insert issues and bugs in students project.</t>
  </si>
  <si>
    <t>try to simulate a real scenario employing someone in the group to insert issues and bugs in students project.</t>
  </si>
  <si>
    <t>It's challenging to teach DevOps concepts that have theoretical foundations and make them interesting from the industry perspective.</t>
  </si>
  <si>
    <t>There's limited material to teach.</t>
  </si>
  <si>
    <t>The project of the class should not be very small and must be challenging.</t>
  </si>
  <si>
    <t>An open source application can be used for the exam.</t>
  </si>
  <si>
    <t>an open source application can be used for the exam.</t>
  </si>
  <si>
    <t>It is difficult to find the right sized open source project to use. It is should be not too small and not too bit.</t>
  </si>
  <si>
    <t>Jenkins can be use as continuous integration tool because it is free and lot of companies use it.</t>
  </si>
  <si>
    <t>It can be also challenging for the, if you have the lab instructor with handling all tools.</t>
  </si>
  <si>
    <t>The lab instructor should handle many tools.</t>
  </si>
  <si>
    <t xml:space="preserve">So in terms of the tools, I feel better. I think one of the good aspect in DevOps is that there are a lot of tools [...] DevOps tools are available and where a lot of them are free and some of them are conscious of those. So a lot of them are free. And, and then, so, so far, I think it has been good. </t>
  </si>
  <si>
    <t>There are many free DevOps tools available.</t>
  </si>
  <si>
    <t>There there's a big focus on tools.</t>
  </si>
  <si>
    <t>So many people only focus on the tools side from DevOps</t>
  </si>
  <si>
    <t>We use a very specific language. This is to just make it easy. I mean, sometimes we give it a bit too flexible. So right now we use a Java and Javascript because we are targeting web application. But, uh, when we students are implementing, uh, new features, so we give them the flexibility. We say, okay, parents, if you want to implement in Python, you can do it as long as you can wrap it in, uh, integrated in the new code</t>
  </si>
  <si>
    <t>It is important to give flexibility to students to develop their solution although some things are determined</t>
  </si>
  <si>
    <t>Labs of continuous integration and continous delivery are challeging because there is not enough time in three months.</t>
  </si>
  <si>
    <t>And as I said, we, students are doing other things. So this means we are limited in what we can ask them.</t>
  </si>
  <si>
    <t>There is a limitation of what is appropriate to ask the students because they are doing a lot of other activities.</t>
  </si>
  <si>
    <t xml:space="preserve">the challenge for us is getting an application, which is interesting [...] you know, like they can use. </t>
  </si>
  <si>
    <t>It is difficult to find an interesting sample application that students use.</t>
  </si>
  <si>
    <t>It is laborious to prepare the exercise that the students will work.</t>
  </si>
  <si>
    <t>it is laborious to prepare the exercise that the students will work.</t>
  </si>
  <si>
    <t>Someone from teacher staff implements the sample application.</t>
  </si>
  <si>
    <t>We presented as a lab project with five deliverables. The students start by defining the requirements and then after they start a secondary pipeline, and then they do at least a couple of weeks iterations cycle and develop cycle. And then after they go to do performance testing to do a security testing, and for each of these deliverables, we submit something, every report.</t>
  </si>
  <si>
    <t>It is necessary to use multiple books because they do not cover all concepts.</t>
  </si>
  <si>
    <t>it is necessary to use multiple books because they do not cover all concepts.</t>
  </si>
  <si>
    <t>igual a 437</t>
  </si>
  <si>
    <t>Make a DevOps course attractive to the students.</t>
  </si>
  <si>
    <t>It's difficult to decide what will be taught in a DevOps course</t>
  </si>
  <si>
    <t>Take Gene Kim's book "DevOps Handbook" as a reference to prepare a DevOps class</t>
  </si>
  <si>
    <t>Prefer to use open source technologies.</t>
  </si>
  <si>
    <t>Lots of work to setup the labs even if you have teacher assistants.</t>
  </si>
  <si>
    <t>Try to use case study together labs.</t>
  </si>
  <si>
    <t>Qualified teacher assistant is important to setup the labs.</t>
  </si>
  <si>
    <t>you need to get the feedback, you don't get the feedback, right? So, and when we, when the students do the student evaluation, of course don't write much. So it's much easier if you can trigger this question</t>
  </si>
  <si>
    <t>Do not try to get feedback before a student assessment, as the student may feel fearful.</t>
  </si>
  <si>
    <t>Get students feedback very openly, just aks them. If you wait for them to write the students evaluation, they don't write much, so you don't get the feedback you need.</t>
  </si>
  <si>
    <t>It is difficult to balance the concreteness (technologies) and the philosophy (concepts) of DevOps.</t>
  </si>
  <si>
    <t>It's hard to make clear to students and make them understang the fact that technologies will change with time, but the fundamentals will remain.</t>
  </si>
  <si>
    <t>Devops Handbook goes to the foundations of DevOps and gets to the different key ideas.</t>
  </si>
  <si>
    <t>It is difficult to teach DevOps concepts without industry experience.</t>
  </si>
  <si>
    <t>The Unicorn project book is a novel which covers the Dev side issues of DevOps.</t>
  </si>
  <si>
    <t>The Phoenix book by Jean Kim is a novel that covers the Ops side of DevOps.</t>
  </si>
  <si>
    <t>The students don't read the suggested book even if you strongly encourage them.</t>
  </si>
  <si>
    <t>Let students setup their environment for themselves.</t>
  </si>
  <si>
    <t>Give students an application that they have to build the pipeline to support it.</t>
  </si>
  <si>
    <t>Teach how to use tools like Docker and Kubernetes but do not much depth</t>
  </si>
  <si>
    <t>Teach how to write pipelines using tools like Docker and Kubernetes. Do not depth too much in the tools.</t>
  </si>
  <si>
    <t>Make the students experiment how to use a cloud provider like AWS.</t>
  </si>
  <si>
    <t>make the students experiment how to use a cloud provider like AWS.</t>
  </si>
  <si>
    <t>Continuous improvement is a key DevOps concept.</t>
  </si>
  <si>
    <t>Continuous improvement process is a key DevOps concept.</t>
  </si>
  <si>
    <t>Hard to decide whether to teach telemetry or not.</t>
  </si>
  <si>
    <t>Use a simple application to walk through all DevOps concepts</t>
  </si>
  <si>
    <t>Do concrete things without necessarily going in depth about all.</t>
  </si>
  <si>
    <t>The teacher assistants need to be very qualified.</t>
  </si>
  <si>
    <t>the teacher assistants need to be qualified.</t>
  </si>
  <si>
    <t>Do not teach deeply some hard technologies like Kubernetes.</t>
  </si>
  <si>
    <t>Do not teach deeply some technologies like Kubernetes.</t>
  </si>
  <si>
    <t>It's difficult to use Jira lifecycle management tool because of its licence model.</t>
  </si>
  <si>
    <t>Try to make the environment setup minimal.</t>
  </si>
  <si>
    <t xml:space="preserve">So one of the challenge from an environment point of view is to get something that students can relate to </t>
  </si>
  <si>
    <t>It's hard to find something students can relate to, from a environment point of view.</t>
  </si>
  <si>
    <t>Use Github with access to students accounts repositories.</t>
  </si>
  <si>
    <t>Use Kanban to make the work visible in devops.</t>
  </si>
  <si>
    <t>It is good to have teacher assistants.</t>
  </si>
  <si>
    <t>You do not need to worry about university infrastruture when the students have Github and AWS accounts and you make the environment as industrial as lightweight as possible in all of the students laptops.</t>
  </si>
  <si>
    <t>Do not force students to use a single language like Java.</t>
  </si>
  <si>
    <t>Use Travis CI for the pipeline.</t>
  </si>
  <si>
    <t>Give students the freedom to choose other tools they want, but make it clear that these tools will not be supported by teachers during the class</t>
  </si>
  <si>
    <t>R1</t>
  </si>
  <si>
    <t>Constantly remember the students about the objective of the course.</t>
  </si>
  <si>
    <t>constantly remember the students about the objective of the course.</t>
  </si>
  <si>
    <t>Define clearly the objectives of your course and make sure you stick to it</t>
  </si>
  <si>
    <t>Use lectures to show case studies and emphasize in some of the DevOps concepts.</t>
  </si>
  <si>
    <t>use lectures to show case studies and emphasize in some of the DevOps concepts.</t>
  </si>
  <si>
    <t>Make the students realize that the Kanban has certain information for analyzing the overall process.</t>
  </si>
  <si>
    <t>It is difficult to balance the usage of tools and making the DevOps process effective and efficient.</t>
  </si>
  <si>
    <t>Be able to capture your DevOps process in terms of modeling as a flow of activities using value stream mapping technique.</t>
  </si>
  <si>
    <t>Constantly try to figure out how to improve the quality of the course.</t>
  </si>
  <si>
    <t xml:space="preserve">Constantly try to figure out how to improve the quality of the course </t>
  </si>
  <si>
    <t>The most importart thing of DevOps is to improve my process continuously through automation of the deployment process.</t>
  </si>
  <si>
    <t>It isn't easy to create a DevOps course without having another course as a reference.</t>
  </si>
  <si>
    <t>There is a lack between what the industry wants from students about DevOps and what the university teaches.</t>
  </si>
  <si>
    <t>in 2018, 2019, and yet no universities have a program in DevOps, no universities, essentially very few universities have a course in DevOps.</t>
  </si>
  <si>
    <t>Few universities have a DevOps course</t>
  </si>
  <si>
    <t>DevOps is not only continous integration, continous delivery and automation.</t>
  </si>
  <si>
    <t>Use DevOps Handbook to create the lectures.</t>
  </si>
  <si>
    <t>Make the lectures attractive is difficult.</t>
  </si>
  <si>
    <t>It is very difficult to interact with students in lecture remote teaching.</t>
  </si>
  <si>
    <t>Show concrete examples when you are presenting some tool like Kubernetes and Docker.</t>
  </si>
  <si>
    <t>show concrete examples when you are presenting some tool like Kubernetes and Docker.</t>
  </si>
  <si>
    <t>Try to bring industrial speakers to share their experience</t>
  </si>
  <si>
    <t>Find books like DevOps Handbook that have industrial case studies about Facebook, Google, etc</t>
  </si>
  <si>
    <t>Students tend to get short free versions and not full versions of books</t>
  </si>
  <si>
    <t>Multiple-choice format questions about DevOps concepts favor the understanding instead of memorization of the students.</t>
  </si>
  <si>
    <t>Quizzes forces students to understand the concepts.</t>
  </si>
  <si>
    <t>It is difficult to teach students with no industrial experience.</t>
  </si>
  <si>
    <t>Make postmortem with the students can solve problems</t>
  </si>
  <si>
    <t>Make postmortem with the students to improve the learning.</t>
  </si>
  <si>
    <t>It's important to communicate with students that DevOps is not buzzword, it is extremely serious.</t>
  </si>
  <si>
    <t>Make public access the content of the course using the GitHub.</t>
  </si>
  <si>
    <t>Make students prepare a presentation about topics related to DevOps.</t>
  </si>
  <si>
    <t>the main, uh, challenge that we had was that DevOps is, there are many too many tools and, uh, many of these tools are not solid and are not commonly used yet. yet.</t>
  </si>
  <si>
    <t>Many tools and some are not mature and not commonly used yet.</t>
  </si>
  <si>
    <t>many tools and some are not mature and not commonly used yet.</t>
  </si>
  <si>
    <t>Students can present a tool or do a demo to get some feedback from others during the classes.</t>
  </si>
  <si>
    <t>Invite people to show students what's going on in practice, not only in theoretical problems</t>
  </si>
  <si>
    <t>The students choose the tools and the projects freely on internet.</t>
  </si>
  <si>
    <t>the students choose the tools and the projects freely on internet.</t>
  </si>
  <si>
    <t>Not predefined projects is dangerous for the organization of the course.</t>
  </si>
  <si>
    <t>Predefined project is important for the organization of the course.</t>
  </si>
  <si>
    <t>Use the Katacoda website to students create tutorials about tools.</t>
  </si>
  <si>
    <t>Change the requirements and the tools to solve the issues in environment setup on Katacoda.</t>
  </si>
  <si>
    <t>Let the students be free about the used tools and technologies.</t>
  </si>
  <si>
    <t>The students should contribute and engage in the development process of the large projects with more than a hundred stars on Github.</t>
  </si>
  <si>
    <t xml:space="preserve">and they had to also engage in a conversation with other people from other teams, uh, in the process that, uh, they were, uh, making those contributions.
</t>
  </si>
  <si>
    <t>Make students engage with people from other teams in the classes.</t>
  </si>
  <si>
    <t>Engage in a conversation with teacher assistants and other students to make sure everything's more work well.</t>
  </si>
  <si>
    <t>engage in a conversation with teacher assistants and other students to make sure everything's more work well.</t>
  </si>
  <si>
    <t>The lectures could be presented by people who were from the industry.</t>
  </si>
  <si>
    <t>the lectures could be presented by people who were from the industry.</t>
  </si>
  <si>
    <t>Teacher assistants check if students contributions pass all the roles of the course.</t>
  </si>
  <si>
    <t>Use Google Docs during the lectures so students could add their questions. Teacher Assistants could answer the questions in the doc.</t>
  </si>
  <si>
    <t>Not just focus on the current, but teach the basics of DevOps and older technologies to a better understanding</t>
  </si>
  <si>
    <t>The students don't have the proper background to listen the lecture of people from the industry.</t>
  </si>
  <si>
    <t>Teacher assistants help students with basics of DevOps concepts and tools.</t>
  </si>
  <si>
    <t xml:space="preserve"> I think if we lay the rooms, uh, maybe it's more clearly and more specifically, I think students, we know better what they will get from what they do. [...]
I think we will have, uh, we will, um, uh, rewrite some of the rules to make sure that, uh, students know how many points they get for what they do, uh, beforehand we should do it because, uh, it will not be perfect because students can choose many different things. </t>
  </si>
  <si>
    <t>Make sure the students know the rules of the course. For example how many points they get for what they do.</t>
  </si>
  <si>
    <t>Separate time to answer students questions, each week, four hours, lectures and answering questions, making some points about the course more clear.</t>
  </si>
  <si>
    <t>separate time to answer students questions, each week, four hours, lectures and answering questions, making some points about the course more clear.</t>
  </si>
  <si>
    <t>Promote a moment to students practice while teachers are around to help them</t>
  </si>
  <si>
    <t>Use Github to record grading, pull requests and discussions between teacher assistants and the students.</t>
  </si>
  <si>
    <t>there are many checks in this course, we had to make sure that the students had done this and that, and that these, uh, checks could be, uh, automatized by your students. And they had, they added some GitHub actions and to the repository.</t>
  </si>
  <si>
    <t>Do automation with Github actions.</t>
  </si>
  <si>
    <t>So that's the course automation and executable tutorial was, uh, chatter, katacoda, um, website. They use the katacoda that website to, uh, to write a tutorial on a tool for them DevOps.</t>
  </si>
  <si>
    <t>The students write a tutorial about a DevOps tool on katacoda to describe the course automation.</t>
  </si>
  <si>
    <t>it was a bit risk because if they had contributed to something that, uh, that the developers didn't merge they wouldn't get, uh, get the score.</t>
  </si>
  <si>
    <t>The students wouldn't get the score if they had contributed to some open source project that the developers didn't merge on github.</t>
  </si>
  <si>
    <t>Skills to teach DevOps are challeging.</t>
  </si>
  <si>
    <t>It is important to have industrial partnership to share skills to contribute to the course.</t>
  </si>
  <si>
    <t>You need to have DevOps practitioners interacting with the students.</t>
  </si>
  <si>
    <t>you need to have DevOps practitioners interacting with the students.</t>
  </si>
  <si>
    <t>Students can't work on large projects in 13 to 15 weeks three hours a week course.</t>
  </si>
  <si>
    <t>It is difficult to students understand how the pipeline deployment works and not just running it.</t>
  </si>
  <si>
    <t>The students can have difficulty understanding the DevOps culture working on a small example.</t>
  </si>
  <si>
    <t>the students can have difficulty understanding the DevOps culture working on a small example.</t>
  </si>
  <si>
    <t>The students without industry experience can have difficulty to understand that DevOps is much more than using tools.</t>
  </si>
  <si>
    <t>the students without industry experience can have difficulty to understand that DevOps culture is more important than running the tools.</t>
  </si>
  <si>
    <t>Teachers could be half time industrial and half time faculty.</t>
  </si>
  <si>
    <t>DevOps is always evolving fast in the last five years.</t>
  </si>
  <si>
    <t xml:space="preserve">that's really complicated as, um, like as a teacher, uh, then we decided to move for on premises, uh, version with our own, uh, systems for deployment building and everything, uh, another disaster, because then it requires a lot of maintenance and a lot of them, of course, or the students are going to work like in the two days before the room, the, um, the delivery of the project.
</t>
  </si>
  <si>
    <t>Using remote services is really complicated to debug what is happening because you don't have the access on the what's happening.</t>
  </si>
  <si>
    <t>Let the students deal with the environment setup on their computers is not reproducible and is complicated to make it work even with the teacher assistant.</t>
  </si>
  <si>
    <t>Bamboo continuous integration does not work with 120 students running pipeline at the same time.</t>
  </si>
  <si>
    <t>Using external cloud services would give you the better in terms of DevOps philosophy, because then you're really pushing and you bring stuff outside of the academy ecosystem.</t>
  </si>
  <si>
    <t>using external cloud services would give you the better in terms of DevOps philosophy, because then you're really pushing and you bring stuff outside of the academy ecosystem</t>
  </si>
  <si>
    <t>DevOps tools are well integrated in BlueJ platform from IBM.</t>
  </si>
  <si>
    <t>Cloud providers can have aggressive policies in the agreements for academic purposes.</t>
  </si>
  <si>
    <t>Cloud provider agreements in academic purposes can be hard.</t>
  </si>
  <si>
    <t>Use tools like Jenkins to have more control on support the deployment.</t>
  </si>
  <si>
    <t>Use tools like Docker to have more control on support the deployment.</t>
  </si>
  <si>
    <t>Use tools like Kubernetes to have more control on support the deployment.</t>
  </si>
  <si>
    <t>Use github, gitlab or bitbucket as version control system tools adopted by the course.</t>
  </si>
  <si>
    <t>Use Jenkins, GitLab, or Github Actions as pipeline orchestration tools adopted by the course.</t>
  </si>
  <si>
    <t>Use Docker as container deployment tool adopted by the course.</t>
  </si>
  <si>
    <t>uses Docker as container deployment tool adopted by the course</t>
  </si>
  <si>
    <t>Use Kubernetes as container deployment tool adopted by the course.</t>
  </si>
  <si>
    <t>uses Kubernetes as container deployment tool adopted by the course</t>
  </si>
  <si>
    <t>It is difficult to explain the importance of DevOps mindset to students that have a superficial idea of what is happening to industry.</t>
  </si>
  <si>
    <t>Lab session works one day and then doesn't work because there are changes like update in Docker API.</t>
  </si>
  <si>
    <t>lab session works one day and then doesn't work because there are changes like update in Docker API</t>
  </si>
  <si>
    <t>Debugging lab sessions are frustating.</t>
  </si>
  <si>
    <t>You should be careful about selecting guest lectures. Prefer industrial practitioners.</t>
  </si>
  <si>
    <t>Small project wasn't really satisfactory.</t>
  </si>
  <si>
    <t>Use problem-based approach on the projects of the students.</t>
  </si>
  <si>
    <t>Make a continuous evaluation of the projects of the students.</t>
  </si>
  <si>
    <t>he grade scale was half description, half justification, and that's helped a lot, but it's always, um, qualitative in this way.</t>
  </si>
  <si>
    <t>It is helpful to use the description and the justification of case studies on qualitative grade scale.</t>
  </si>
  <si>
    <t>It is really difficult to quantitative grade scale on the description and the justification of case studies.</t>
  </si>
  <si>
    <t xml:space="preserve">he grade scale was half description, half justification ... . It's, it's, it's really difficult to be quantitative and to have this, uh, uh, grade scale that is by the, uh, by the point. </t>
  </si>
  <si>
    <t>Teacher assistants grade the projects and the professors grade the exams with cross validating.</t>
  </si>
  <si>
    <t>Undergraduate students can have no interest in DevOps.</t>
  </si>
  <si>
    <t>Undergraduate students might not be interested in DevOps.</t>
  </si>
  <si>
    <t>There is no consensus if DevOps course should be mandatory or optional.</t>
  </si>
  <si>
    <t>It's really difficult to find supports if you want to teach DevOps.</t>
  </si>
  <si>
    <t>Duplicated Id</t>
  </si>
  <si>
    <t>Interview Quote (Interview 1 to 7 are in Portuguese)</t>
  </si>
  <si>
    <t>Translated Interview Quote</t>
  </si>
  <si>
    <t>001</t>
  </si>
  <si>
    <t>A recurrent problem is the level of students knowledge that they come when they start the discipline.</t>
  </si>
  <si>
    <t>002</t>
  </si>
  <si>
    <t>To configure a environment needed to start.</t>
  </si>
  <si>
    <t>003</t>
  </si>
  <si>
    <t>In many times, a professor would need computational resources to teach specific concepts [...] to configure real scenarios as much as possible.</t>
  </si>
  <si>
    <t>004</t>
  </si>
  <si>
    <t>Many times, you do not have access to computer resources to set up scenarios that you can actually teach labs or do, there, labs for students to learn.</t>
  </si>
  <si>
    <t>005</t>
  </si>
  <si>
    <t>Some datasets as Azure from Microsoft, which the federal institute has a partnership has limited trial time to test, and it is necessary to have a credit card and other related things which sometimes the students do not have.</t>
  </si>
  <si>
    <t>006</t>
  </si>
  <si>
    <t>There is no account, like, the teacher that he can make available, and there are resources for what students learn to set up these scenarios, right? Neither a local datacenter nor one of these commercials, many times it is not, it does not have all the possibilities you could use, at least not, without being linked to an agreement or something like that.</t>
  </si>
  <si>
    <t>007</t>
  </si>
  <si>
    <t>There is no accepted taxonomy of what the concepts of DevOps are.</t>
  </si>
  <si>
    <t>008</t>
  </si>
  <si>
    <t>I don't know any specific teaching devops tool.</t>
  </si>
  <si>
    <t>009</t>
  </si>
  <si>
    <t>We sometimes want to teach everything and we don't have infinite time[...] to fit the knowledge of DevOps, which is very broad knowledge and involves at least two distinct areas.</t>
  </si>
  <si>
    <t>010</t>
  </si>
  <si>
    <t>Making it fit was more difficult because sometimes the content is too long and time is limited.</t>
  </si>
  <si>
    <t>011</t>
  </si>
  <si>
    <t>I couldn't set up a DevOps environment due to restrictions even with administrative authorization.</t>
  </si>
  <si>
    <t>012</t>
  </si>
  <si>
    <t>There wasn't a tool to configure the environment [...] or to automate these environments then [..] since it became manual.</t>
  </si>
  <si>
    <t>013</t>
  </si>
  <si>
    <t>There wasn't a set of [...] scripts that the student should configure this environment himself, install the tool himself [...] whatever the servers he needed.</t>
  </si>
  <si>
    <t>014</t>
  </si>
  <si>
    <t>I had difficulty setting up the infrastructure.</t>
  </si>
  <si>
    <t>015</t>
  </si>
  <si>
    <t>There is no literature like this in the area of ​​corporate systems, so it ends up that we actually do a meeting of several videos, but there is not one that we can use as a focus, as this backbone. I particularly have this approach [...] I really wanted there to be literature at this level.</t>
  </si>
  <si>
    <t>016</t>
  </si>
  <si>
    <t>Once it's deployed, how do you manage to monitor and give and maybe get feedback from the customer, maybe things to improve, the monitoring of the system itself, this part is a challenge, really, to be able to show it to the student and maybe , make him face it from a more professional perspective, because already imagining that he is going to the market and will come across these many situations there.</t>
  </si>
  <si>
    <t>017</t>
  </si>
  <si>
    <t>The challenge of making students see this approach to operationalization, putting the system on the air, maintaining this system, adding new features and not breaking the system.</t>
  </si>
  <si>
    <t>018</t>
  </si>
  <si>
    <t>How can we see if the student is aware of the concept of continuous delivery, which is one of the concepts we address?</t>
  </si>
  <si>
    <t>019</t>
  </si>
  <si>
    <t>It's more this initial contact that seems to scare them a little more, it makes them go to others, when they arrive.</t>
  </si>
  <si>
    <t>020</t>
  </si>
  <si>
    <t>The docker, [...] to use, they usually have a greater difficulty in this theme, in the beginning.</t>
  </si>
  <si>
    <t>021</t>
  </si>
  <si>
    <t>The part of actually putting an initial part has this shock of this reality there for the students in which they have to leave a tool that they are already there with the system running and bring it to our tool.</t>
  </si>
  <si>
    <t>022</t>
  </si>
  <si>
    <t>A challenge that is to convince students to give importance to this... they have this other view, this aspect of the configuration of the environment.</t>
  </si>
  <si>
    <t>023</t>
  </si>
  <si>
    <t>When they arrive, many use another environment[...] they put the system there and they don't have to worry too much about other details[...] We really ask them to make this migration for them to have this other view, this aspect of setting up the environment. Putting it into production and keeping this system working.[...] I think this can be seen as a challenge, which is to convince students to give importance to this, the importance of them knowing these aspects too, not leaving it so transparent to them too.</t>
  </si>
  <si>
    <t>024</t>
  </si>
  <si>
    <t>A partner editor, including the board, who brought a catalog of books for us to take a look at, and I went after it, including a book on the subject, right? From corporate systems, right, from this part of DevOps, and simply, I didn't find it in the catalog.</t>
  </si>
  <si>
    <t>025</t>
  </si>
  <si>
    <t>The concept of continuous delivery [...] The difficult thing is to put it into practice [...] when they, as a team, need to release a certain functionality and ensure that it doesn't break the system.</t>
  </si>
  <si>
    <t>026</t>
  </si>
  <si>
    <t>The challenges I can mention is precisely this part of you being able to demonstrate, right, to demonstrate to them all this tooling of ours.</t>
  </si>
  <si>
    <t>027</t>
  </si>
  <si>
    <t>I think it's also a challenge, in this sense of being able to associate the content of the class with this theoretical view, with examples of what it involves in their practice.</t>
  </si>
  <si>
    <t>028</t>
  </si>
  <si>
    <t>The even greater difficulty, which I can point out, is precisely the structuring, really, perhaps of the sequence of classes, because we do not have this material that guides,</t>
  </si>
  <si>
    <t>029</t>
  </si>
  <si>
    <t>The main challenge is that, in general, DevOps related tools are cloud-based systems.</t>
  </si>
  <si>
    <t>030</t>
  </si>
  <si>
    <t>The main challenge is to correctly convey to students the idea that DevOps is about a culture.</t>
  </si>
  <si>
    <t>031</t>
  </si>
  <si>
    <t>The even greater difficulty, which I can point out, is precisely the structuring, really, perhaps of the sequence of classes, because we do not have this material that guides.</t>
  </si>
  <si>
    <t>032</t>
  </si>
  <si>
    <t>In general, you have a wide range of solutions. You have a very large ecosystem of possibilities on how to test or demonstrate a concept.</t>
  </si>
  <si>
    <t>033</t>
  </si>
  <si>
    <t>The challenge in this aspect refers to [..] the issue of laboratories [...], but you always end up as a matter of time versus class development.</t>
  </si>
  <si>
    <t>034</t>
  </si>
  <si>
    <t>In many cases the assessment is still based on the traditional test model or on some fixed assessment process, with an X list of questions or something similar.</t>
  </si>
  <si>
    <t>035</t>
  </si>
  <si>
    <t>The DevOps concept, it's very open, right, it encompasses different areas between development, security and operations.</t>
  </si>
  <si>
    <t>036</t>
  </si>
  <si>
    <t>Suppose the student is in a context where he has always been in the academic area or has never had practical contact with any of these software development features. In that case, it will likely be much more challenging for him.</t>
  </si>
  <si>
    <t>037</t>
  </si>
  <si>
    <t>If the student is in a context where he has always been in the academic area, or he has never had practical contact with any of these features of software development, [...] for the teacher, it becomes much more challenging to teach the DevOps concept this student profile.</t>
  </si>
  <si>
    <t>038</t>
  </si>
  <si>
    <t>DevSecOps [...] is the type of discipline that requires strong knowledge in two areas, both distinct, in the security area, but at the same time in the development area to be able to find the link between the two and then yes, get to what the student.</t>
  </si>
  <si>
    <t>039</t>
  </si>
  <si>
    <t>The first challenge is to decouple the idea that about DevOps [...] to deliver a formula.</t>
  </si>
  <si>
    <t>040</t>
  </si>
  <si>
    <t>The students arrive with the idea that they have a set of X tools to deliver in their daily lives and tools only a piece and a small piece within the delivery process, which is more cultural and more personal than tooling, huh? Organizational even, I would say.</t>
  </si>
  <si>
    <t>041</t>
  </si>
  <si>
    <t>The second challenge is people with different experiences [...] you have mixed classes, so at a point in the course where you talk about a specific programming language to give an example. Some are more familiar than others. [...] So, knowing how to deal with these differences to make the course pleasant for everyone and comfortable for everyone, this is a great challenge.</t>
  </si>
  <si>
    <t>042</t>
  </si>
  <si>
    <t>As people are remote, basically for training, there are several factors that influence the didactics. The home environment, even, that the person, sometimes, does not live alone, or has sons, daughters. This is not a problem for people, for me, a teacher, as a teacher, but for a person, sometimes, you can't open a camera. You can't do one, so dealing with these differences within the pandemic is important. It's not a problem, but it's a point of e also the differences from the infrastructure that the person has to take the course. A machine a little newer, older, pre-configured for work, there are companies that already have the machine ready for day to day and the course uses other configurations which are challenges that we have with the students to talk, look, I need version X, and the person does not have the installation permission.</t>
  </si>
  <si>
    <t>043</t>
  </si>
  <si>
    <t>It is the cultural challenge of I am not going to deliver a ready-made recipe.</t>
  </si>
  <si>
    <t>044</t>
  </si>
  <si>
    <t>We have a standard agreement, not an agreement. It is a convention that we have which is the following, people are different, see? [...] they have different backgrounds, they have different life stories, experiences that marked them in different ways.</t>
  </si>
  <si>
    <t>045</t>
  </si>
  <si>
    <t>Student machine capacity restriction.</t>
  </si>
  <si>
    <t>046</t>
  </si>
  <si>
    <t>For those who are from infrastructure and are only used to accessing the server, building it with a tool like Maven, for example, can be a challenge for them.</t>
  </si>
  <si>
    <t>047</t>
  </si>
  <si>
    <t>We depend on the internet, I will give you a straightforward example, you will use the virtual machine, no matter how much you use Vagrant, for example, it needs to download a base image. And depending on the student's location, it takes two minutes and up to two hours.</t>
  </si>
  <si>
    <t>048</t>
  </si>
  <si>
    <t>The expectation of students to deliver something, by hand, because they are technical people, is to be able to balance what is concept and what is practical and show the importance, the value of what you are explaining.</t>
  </si>
  <si>
    <t>049</t>
  </si>
  <si>
    <t>For you to be able to look at all the students is very difficult, I understand why some cannot open the camera. It does not have the capacity or technology or structure to open, talk to you. Communication is broken, no matter how much we open it all the time, even if Zoom allows it. It is different from everyday life in the classroom because you cannot look at the student and see how he is reacting to that content. Not that you only adapt to one student, but you do not have the personal perception of doubt. Sometimes you can look at the student and say, oh, I think that was not clear to him. It is a challenge.</t>
  </si>
  <si>
    <t>050</t>
  </si>
  <si>
    <t>It is to set expectations when he signs up that the entire course is not tooling and that no, we will not use the best stacks in the market.</t>
  </si>
  <si>
    <t>051</t>
  </si>
  <si>
    <t>In both classes that I taught [...], there was a challenge of class heterogeneity. You have very proficient people in the development and have no idea about the server, Linux and environment configuration, tools, the other spectrum. People who came from operational, System admin itself is not so proficient in the programming part, in code.</t>
  </si>
  <si>
    <t>052</t>
  </si>
  <si>
    <t>The lack of proficiency of some students in some criteria of this ends up making this practice difficult.</t>
  </si>
  <si>
    <t>053</t>
  </si>
  <si>
    <t>There's still this challenge of understanding these tools, environment, network, configuration, you know? So, I think one challenge brings the other, right? I would say this is a challenge, too.</t>
  </si>
  <si>
    <t>054</t>
  </si>
  <si>
    <t>It is a discipline with no definition, so there is no introductory textbook. There is not something totally agreed upon between the community of what it is, when it is applied, and such.</t>
  </si>
  <si>
    <t>055</t>
  </si>
  <si>
    <t>The course preparation is very difficult [...] there will not be that much paper, article because it is very new.</t>
  </si>
  <si>
    <t>056</t>
  </si>
  <si>
    <t>When you go to configure the tools and such, as you were the one who developed the system, it becomes easier, I believe you understand all the automations and such, but at the same time I see that the guys have a lot of difficulty in doing it.</t>
  </si>
  <si>
    <t>057</t>
  </si>
  <si>
    <t>This part of the system, which I ask them to do to monitor the discipline, [...] ok, I'll give you a system, will it be an open source system? Me too, you know? Since I can give you a system, let's use a real system that isn't a joke. So, like, I think of a great open souce system there, that has testing, has a shitload of stuff, has continuous integration and has I don't know what, and you can select the test battery that will be used in each corner, You know?</t>
  </si>
  <si>
    <t>058</t>
  </si>
  <si>
    <t>So, because then, if I make this system, I can pass it on to people in a much simpler way, right? How do they do things and such, but then we also know that there are challenges, right? Wow, this is not that simple, will I have time to do it, right?</t>
  </si>
  <si>
    <t>059</t>
  </si>
  <si>
    <t>If I make this system [...] We, professors, sometimes are not the most proficient programmers there are, so maybe what we write is not in accordance with what is happening in the market today.</t>
  </si>
  <si>
    <t>060</t>
  </si>
  <si>
    <t>It turned out that a lot of people did it in [...] different environments [...] for us, teacher, often we are not proficient in all of these.</t>
  </si>
  <si>
    <t>061</t>
  </si>
  <si>
    <t>Then the boy will go in a week, he will only have his entire environment set up, right? But, this creates challenges too, right? That it will be difficult to do this and such.</t>
  </si>
  <si>
    <t>062</t>
  </si>
  <si>
    <t>Material heterogeneity is the biggest challenge. You have to set up a class sewing the fonts, right?</t>
  </si>
  <si>
    <t>063</t>
  </si>
  <si>
    <t>A difficulty of technologies is about recognizing what is relevant to be addressed in the classroom, is not it? So, for example, there is much technology on the market.</t>
  </si>
  <si>
    <t>064</t>
  </si>
  <si>
    <t>If you are going to make this CI in the cloud commercially, you will have to pay. It is not free. Free here just for us to play, right? However, if you want to put your company's system to do, I don't know how many integrations per week, you will have to pay for it.</t>
  </si>
  <si>
    <t>065</t>
  </si>
  <si>
    <t>When I taught the DevOps course in my master's, it was DevOps from beginning to end, right? So I had to decide everything that was going to go into the content. There is a lot that was left out</t>
  </si>
  <si>
    <t>066</t>
  </si>
  <si>
    <t>The biggest challenge is this, like, what goes in, you know? These days, people do a lot within the DevOps Pipeline, which does not necessarily go into a DevOps course, right?</t>
  </si>
  <si>
    <t>067</t>
  </si>
  <si>
    <t>Because you take so many different things that I feel a bit sorry, in quotes, to pass everything on to the students. ... So, I think it's a difficulty, from the point of view, like, the pedagogical type of setting up the classes and such. It would be that, the condensation of everything, let's say, the centralization of the material in what you produced, right?</t>
  </si>
  <si>
    <t>068</t>
  </si>
  <si>
    <t xml:space="preserve">And sometimes you took a little bit of such a thing, right? Not all that text was relevant, you know? So, your material ends up becoming the only source, let's put it that way. For students, I've already figured that out, like, you know? People studied and such, they went a lot for the material I prepared. When the material I was preparing was, let's say, it was a set of slides, right? Which doesn't serve that much, from the point of view, right, from having a more in-depth reading and such. So, I think it's a difficulty, from the point of view, like, the pedagogical type of setting up the classes and such.
</t>
  </si>
  <si>
    <t>069</t>
  </si>
  <si>
    <t>Give this view that DevOps is not just a tool [...] It is very much in line with agile movement.</t>
  </si>
  <si>
    <t>070</t>
  </si>
  <si>
    <t>How to apply these things from Devops in companies [...] there is a great difficulty that is cultural. Companies have always organized themselves in this way, separating movement from infrastructure, not having collaboration, not having communication, and this ends up generating friction, especially when problems arise [...] go on changing a little the company's culture, the process, the way people organize themselves, meet, and such, trying to remove the barriers there until it is natural and both teams work together [...] with a single goal, which is to develop, deliver software that works and solve problems as quickly as possible.</t>
  </si>
  <si>
    <t>071</t>
  </si>
  <si>
    <t>Trying to show that DevOps is not just tools, trying to make people understand this and trying to change it during the class, so trying as best as possible to make people understand, right? That they will end up having to change the culture of the environment, right? The processes, the way they organize themselves.</t>
  </si>
  <si>
    <t>072</t>
  </si>
  <si>
    <t>Trying to contextualize this too is very difficult.</t>
  </si>
  <si>
    <t>073</t>
  </si>
  <si>
    <t>Each student in the class brings a different experience, different challenges, and trying to generalize this is more complicated.</t>
  </si>
  <si>
    <t>074</t>
  </si>
  <si>
    <t>This area of ​​DevOps is gigantic too. So training is limited there. It is a forty-hour training, right?</t>
  </si>
  <si>
    <t>075</t>
  </si>
  <si>
    <t>This part of culture and such, which is, let us say, more boring, right? That people go there wanting to see tools, right? So, how to balance, right? Talk a little non-technical things with technical things.</t>
  </si>
  <si>
    <t>076</t>
  </si>
  <si>
    <t>Because the DevOps universe has millions of tools, technologies, and [...] It has an infinity of tools, they all meet the objectives. They are good and such.</t>
  </si>
  <si>
    <t>077</t>
  </si>
  <si>
    <t>The challenge is this: having the non-technical part with the technical part, pondering both, and addressing these main topics, right?</t>
  </si>
  <si>
    <t>078</t>
  </si>
  <si>
    <t>There are concepts of collaboration, communication, organization that are a little subjective, right? So, it's a little harder for you to evaluate.</t>
  </si>
  <si>
    <t>079</t>
  </si>
  <si>
    <t>Another challenge too, that [...] we changed our model from in-person to online, live. And then, we had this problem, right, that in the course there is a project, with certain technologies, but, in our case, we already have a laboratory that has everything installed and configured. So, in this case, man, now, it's the student who's going to do his homework, right, how is he going to configure the infrastructure with that specific project and without having a headache, it won't interfere in class.</t>
  </si>
  <si>
    <t>080</t>
  </si>
  <si>
    <t>So, all this traceability of what was done to what they are going to do, was the very difficult part [...] So, you can't think about doing a theoretical thing, you have to have practice, you can't just to be just practical exercises, it has to have a whole journey, a well-established train of thought. It was quite tricky to get to that topic.</t>
  </si>
  <si>
    <t>081</t>
  </si>
  <si>
    <t>This is a problem because of what happens: there are several tools, and we always have to close on some for the didactic nature of experimentation.</t>
  </si>
  <si>
    <t>082</t>
  </si>
  <si>
    <t>There is no time for, for example, structuring complex environments [...] I know it is not the reality in the market, very few companies I had contact that set up their environment from scratch on the nail, in a set of internal servers.</t>
  </si>
  <si>
    <t>083</t>
  </si>
  <si>
    <t>When I started preparing, there was not a buy the book, a "kit" a suggestion for a course, there for you to start, it is a good start, right?</t>
  </si>
  <si>
    <t>084</t>
  </si>
  <si>
    <t>The teaching plan, where I am going to start, where I am going to go, what is next. So, structuring this sequence of subjects to be covered, of how you are going to connect the subjects, which is the hardest part.</t>
  </si>
  <si>
    <t>085</t>
  </si>
  <si>
    <t>So it is in line with what is happening in the community as a whole, right? Always trying to bring it, because this area, specifically, it runs very fast. So, every semester I run this discipline once a year, there are very strong updates on what is happening.</t>
  </si>
  <si>
    <t>086</t>
  </si>
  <si>
    <t>Team of monitors [...] If you don't have it, it gets heavier, it's more difficult, you alone evaluate. Take a class with forty students, even if you divide it into teams, it's a lot for you to evaluate.</t>
  </si>
  <si>
    <t>087</t>
  </si>
  <si>
    <t>The real challenge was when I started doing it, which I didn't have any. Then, building from scratch is more difficult, there is no baseline. [...] [...] these types of challenges, they are more related to the nature of the subject, not the object, that is: what type of content, how will you conduct this course, how will you want to conduct the discipline.</t>
  </si>
  <si>
    <t>088</t>
  </si>
  <si>
    <t>If you want a kind of hybrid discipline, in which you have the theory and applied practice, then the challenge will be different, then it ranges from having an environment for it to structuring the environment, or thinking about something like that, to making a virtual machine available,</t>
  </si>
  <si>
    <t>089</t>
  </si>
  <si>
    <t>You cannot teach DevOps without experiencing DevOps, right? You cannot read in a book and want to teach DevOps because DevOps is a very practical discipline. There is a lot that happens in practice. So, there is a lot of doubt, from concepts, about Kubernetes configuration error, for example. So, these are things that we have to deal with [...] So, venturing out to teach DevOps, parachuting, that is a big challenge because the level of knowledge you will have to collect for this is quite diverse and multidisciplinary.</t>
  </si>
  <si>
    <t>090</t>
  </si>
  <si>
    <t>This teaching plan is not and should not be completed, right? He does not have it, he is never ready [...] Things change too fast, the focus changes too fast.</t>
  </si>
  <si>
    <t>091</t>
  </si>
  <si>
    <t xml:space="preserve">DevOps ends up forcing you to tap into a lot of other universes, right? Especially if you go into project as an evaluation method. So, that's another big challenge, you keep an eye out for what's going on, which can be correlated and which you can bring as an open scope to be worked also in the discipline, with this type of direction. Which in my case, comes AI student, Bank student, Software Engineering student, pay for the post, and that then you can't just stay in the context of developing software, delivering software on DevOps, right? There's a whole other context of things related, for example, to operation, infrastructure analysis, learning, prediction, and so on.	Difficulty in linking DevOps classes with other subjects of interest to students.	</t>
  </si>
  <si>
    <t>092</t>
  </si>
  <si>
    <t>093</t>
  </si>
  <si>
    <t>One of the challenges is how do you teach people from these different backgrounds [...]  there is so much technology that comes together in DevOps, that the challenge is how do you get everyone up to speed on an even right? So that we can all move forward together and learn together. So, so that's a big challenge.</t>
  </si>
  <si>
    <t>094</t>
  </si>
  <si>
    <t>095</t>
  </si>
  <si>
    <t>096</t>
  </si>
  <si>
    <t xml:space="preserve">There are several environments in the cloud, but they all cost money. </t>
  </si>
  <si>
    <t>097</t>
  </si>
  <si>
    <t>098</t>
  </si>
  <si>
    <t>You have to change the tools almost every semester or every two years. You've got to look at what are the popular tools right now.</t>
  </si>
  <si>
    <t>099</t>
  </si>
  <si>
    <t>100</t>
  </si>
  <si>
    <t xml:space="preserve">A big challenge is students learning to be, um, to be agile working as a team pair programming. </t>
  </si>
  <si>
    <t>101</t>
  </si>
  <si>
    <t>Lot of those concepts are hard to teach in a classroom setting.</t>
  </si>
  <si>
    <t>102</t>
  </si>
  <si>
    <t>That's kind of challenging getting them to be agile, getting them to think agile, get into think minimum viable product, right.</t>
  </si>
  <si>
    <t>103</t>
  </si>
  <si>
    <t>Are they following the process? Not, did they get the work done in the end? That's not the important part is did they learn the process and follow it? And did they learn from it? So that's, it's kind of challenging.</t>
  </si>
  <si>
    <t>104</t>
  </si>
  <si>
    <t>So the challenge for me is that the cloud is constantly evolving. And so every semester what I try to do in my class, in my labs, I have snapshots of screenshots and circles and arrows and, you know, click on this and move there. Um, and that changes constantly.</t>
  </si>
  <si>
    <t>105</t>
  </si>
  <si>
    <t>So there's a lot of preparation in making sure that the tools still work the way they should, that the cloud still works the way they should, um, that the code doesn't have vulnerabilities in it. And that you've got all the right versions of stuff. So that's a lot of, uh, preparation then of course, as I said, you know, new technologies, like when Kubernetes came around, you know, you have to add Kubernetes to the class, constantly adding new technologies to the class move.</t>
  </si>
  <si>
    <t>106</t>
  </si>
  <si>
    <t>Because of the remote learning [...] I've been teaching my classes on zoom. And so, uh, that makes it very hard to do hands-on because I can't see the students right. While I'm doing the hands-on. So I can't see the puzzled look on their face and say, okay, I just lost them.</t>
  </si>
  <si>
    <t>107</t>
  </si>
  <si>
    <t>108</t>
  </si>
  <si>
    <t>My biggest challenge is that my course should be two semesters because it's just too much stuff to fit in one semester. [...] the challenge there is I had to put together a curriculum that had, um, a little bit about everything. [...] So it's challenging fitting all that stuff into one semester.</t>
  </si>
  <si>
    <t>109</t>
  </si>
  <si>
    <t>110</t>
  </si>
  <si>
    <t>The big challenge for me right, is, uh, is keeping up with the technology [...] so it's just challenging to keep up with all the new technology that's out there in DevOps.</t>
  </si>
  <si>
    <t>111</t>
  </si>
  <si>
    <t>112</t>
  </si>
  <si>
    <t>There's a lack of frame of reference on even what operations is. Most people get into operations, at least in my experience sort of accidentally.</t>
  </si>
  <si>
    <t>113</t>
  </si>
  <si>
    <t>You have a clean compile, you've tested your code and it meets the functional requirements. And that's the end of the story. But as we know, you know, even from software development,[...] it doesn't end once the software is built and once it's passed testing, then it goes into this entire operational stage. We tend to ignore it. And I don't think we ignore it deliberately. We ignore it because it's hard.</t>
  </si>
  <si>
    <t>114</t>
  </si>
  <si>
    <t>115</t>
  </si>
  <si>
    <t xml:space="preserve">That is a lot of the devops principles that come into play. </t>
  </si>
  <si>
    <t>116</t>
  </si>
  <si>
    <t>Doing infrastructure as code or forms of configuration management or containerization, or even the simpler things like treating build scripts as first-class citizens alongside your code, start to not be meaningful until you have code at some minimum scale where there's a certain minimum complexity, both in terms of construction.</t>
  </si>
  <si>
    <t>117</t>
  </si>
  <si>
    <t>118</t>
  </si>
  <si>
    <t>119</t>
  </si>
  <si>
    <t>120</t>
  </si>
  <si>
    <t>121</t>
  </si>
  <si>
    <t>It is very dangerous to teach too many tools because it's simply conveys that it is a very technology centric approach.</t>
  </si>
  <si>
    <t>122</t>
  </si>
  <si>
    <t>Because in though in the ops part, and this is the stuff I typically don't have as much time for simply because I know most of the students are coming from the software development side of the house.</t>
  </si>
  <si>
    <t>123</t>
  </si>
  <si>
    <t>A lot of the folks who are attending the course are not at a level in the organization where they can actually affect culture [...] they are usually technologists and so they can very easily understand how they can affect things like technology decisions and the application of technology. But many of them are not, let's say at manager or director or senior director VP levels or things like that will, they can actually affect more senior levels of challenge there.</t>
  </si>
  <si>
    <t>124</t>
  </si>
  <si>
    <t>You have to make a business case. It's a lot harder to do.</t>
  </si>
  <si>
    <t>125</t>
  </si>
  <si>
    <t>126</t>
  </si>
  <si>
    <t>It can be a little harder garner garnering some of that same thing from, from industry, you know, unless you happen to find reasonably wit reasonably written, uh, white papers or, or things along those lines</t>
  </si>
  <si>
    <t>127</t>
  </si>
  <si>
    <t>128</t>
  </si>
  <si>
    <t>129</t>
  </si>
  <si>
    <t>130</t>
  </si>
  <si>
    <t>131</t>
  </si>
  <si>
    <t>Human challenges are when you start teaching DevOps, it doesn't look serious</t>
  </si>
  <si>
    <t>132</t>
  </si>
  <si>
    <t>133</t>
  </si>
  <si>
    <t>When you do continuous integration, you need to have a logical base. You need to have a lot of people committing in the code changes often. Um, you need to have a lot of machines. You have the machines where people are coding. You have the machines that are building, you have the machines that are the way you run your database. You have the machines where you deploy to. ... you need a lot of machines interconnected, um, with visibility on each other that they can get to.</t>
  </si>
  <si>
    <t>134</t>
  </si>
  <si>
    <t>135</t>
  </si>
  <si>
    <t xml:space="preserve"> Uh, so that's a practical challenge that when you want to put it in place, and as a teacher, you want to be able to log into all of those machines to see what they're doing.</t>
  </si>
  <si>
    <t>136</t>
  </si>
  <si>
    <t xml:space="preserve">All of those challenges are basically how do you rebuild an enterprise environment into a university environment that is much more restrictive and doesn't have enough machines for them. Usually that's a real challenge.
</t>
  </si>
  <si>
    <t>137</t>
  </si>
  <si>
    <t>138</t>
  </si>
  <si>
    <t>139</t>
  </si>
  <si>
    <t>140</t>
  </si>
  <si>
    <t xml:space="preserve">If you're the things and they've launch, you know, Docker and Jenkins, that's it or JDK, that's it. There's no memory left. Um, so is the environment set up is hard. </t>
  </si>
  <si>
    <t>141</t>
  </si>
  <si>
    <t>142</t>
  </si>
  <si>
    <t>What is hard is to be prepared with, um, a technology stack that is robust and simple or very simple so that you know exactly what you look when you help them debug.</t>
  </si>
  <si>
    <t>143</t>
  </si>
  <si>
    <t>144</t>
  </si>
  <si>
    <t>145</t>
  </si>
  <si>
    <t>146</t>
  </si>
  <si>
    <t>147</t>
  </si>
  <si>
    <t>Some of them do have a lot of programming and are fairly mature, but because when we recruit, they be coming from different schools.</t>
  </si>
  <si>
    <t>148</t>
  </si>
  <si>
    <t xml:space="preserve">Whatever they found it valuable usually, um, after the class is done at the end of the year, they don't always see the value. It's the kind of class where you want them to know this stuff, because once they will be in the industry, they'll need it every day. Um, but they don't know they need it every day. </t>
  </si>
  <si>
    <t>149</t>
  </si>
  <si>
    <t>150</t>
  </si>
  <si>
    <t>151</t>
  </si>
  <si>
    <t>152</t>
  </si>
  <si>
    <t>The point is how do we adapt DevOps in concept in a way where we, we are still take keeping in mind the theoretical foundation, but where make it making it interesting from an industry or practical perspective.</t>
  </si>
  <si>
    <t>153</t>
  </si>
  <si>
    <t>What we sit and do, but, uh, so from the lab perspective, that's interesting, but on the teaching side, as I said, like, uh, having limited material, make the teaching a little bit more difficult.</t>
  </si>
  <si>
    <t>154</t>
  </si>
  <si>
    <t>The challenge sometimes is finding a good open source application, which is not too big also because you don't want the project to be too big. You don't want it to be too small, but you don't want too big. So, so finding something in between, which can be used. And, and, uh, so.</t>
  </si>
  <si>
    <t>155</t>
  </si>
  <si>
    <t>156</t>
  </si>
  <si>
    <t>There's a big focus on tools.</t>
  </si>
  <si>
    <t>157</t>
  </si>
  <si>
    <t>158</t>
  </si>
  <si>
    <t>159</t>
  </si>
  <si>
    <t xml:space="preserve">The challenge for us is getting an application, which is interesting [...] you know, like they can use. </t>
  </si>
  <si>
    <t>160</t>
  </si>
  <si>
    <t>161</t>
  </si>
  <si>
    <t>162</t>
  </si>
  <si>
    <t>Your books are written mostly with the different projects in mind. Like they are thinking about people working in the company, but not thinking about students who are learning. And this makes it very difficult to design a DevOps curriculum where you cover a hundred percent DevOps in one course.</t>
  </si>
  <si>
    <t>163</t>
  </si>
  <si>
    <t>For us as educators, we need to find a way where we can make it interesting.</t>
  </si>
  <si>
    <t>164</t>
  </si>
  <si>
    <t>165</t>
  </si>
  <si>
    <t>We had to work to do on the labs. ...  the assistant I had two for the labs was too busy with too many things.</t>
  </si>
  <si>
    <t>166</t>
  </si>
  <si>
    <t xml:space="preserve">The challenge is, in my opinion, is, is to, to strike this balance between, between, um, concreteness, like work with technologies, because essentially, uh, DevOps is yes, a philosophy. </t>
  </si>
  <si>
    <t>167</t>
  </si>
  <si>
    <t>168</t>
  </si>
  <si>
    <t>The main challenge remain the able to, to, to teach the fundamentals. I think that this type, of course almost requires some type of industrial experience, because if you've not been in contact with the industry, there are so many things that are, um, more difficult to, to, to really understand.</t>
  </si>
  <si>
    <t>169</t>
  </si>
  <si>
    <t>170</t>
  </si>
  <si>
    <t>171</t>
  </si>
  <si>
    <t>172</t>
  </si>
  <si>
    <t>So one of the challenge from an environment point of view is to get something that students can relate to.</t>
  </si>
  <si>
    <t>173</t>
  </si>
  <si>
    <t>To strike a balance. The students are of course, very keen about the products and telemetry about the product and, and, and, and building Docker containers. And, but what I want them to reflect, I mean, the whole goal of DevOps is to make the process effective, very, very efficient.</t>
  </si>
  <si>
    <t>174</t>
  </si>
  <si>
    <t xml:space="preserve">I didn't find any course, really I was looking for courses in devops, like yes, there were courses that talk about kubernetes that these, yes. There are courses that talk about, uh, integrated testing. Yes. There are courses. We talk about AWS and cloud, but I didn't find any course on devops that I can two years ago that I'm almost like three years ago now when I started to work on it, um, use as a basis. Right. So the first semester was a nightmare. </t>
  </si>
  <si>
    <t>175</t>
  </si>
  <si>
    <t>We hear from our industrial partners and from industry in general is there's this HUGE gap right? Between what the industry needs and what university provides.</t>
  </si>
  <si>
    <t>176</t>
  </si>
  <si>
    <t>In 2018, 2019, and yet no universities have a program in DevOps, no universities, essentially very few universities have a course in DevOps.</t>
  </si>
  <si>
    <t>177</t>
  </si>
  <si>
    <t>178</t>
  </si>
  <si>
    <t>You can make the lectures more interactive, but to make the lecture attractive students have to willing to interact. Right. Which is very difficult to do.</t>
  </si>
  <si>
    <t>179</t>
  </si>
  <si>
    <t>To make the lecture attractive students have to willing to interact. Right. Which is very difficult to do. And of course, uh, zoom teaching, uh, makes it a challenge.</t>
  </si>
  <si>
    <t>180</t>
  </si>
  <si>
    <t>181</t>
  </si>
  <si>
    <t>Teaching this course, it's possible to teach it with students with no experience, but it makes the thing like this. I've been trying to have interactions with the students about, I know certain topics become quite difficult because they cannot relate it to anything concrete.</t>
  </si>
  <si>
    <t>182</t>
  </si>
  <si>
    <t>The main, uh, challenge that we had was that DevOps is, there are many too many tools and, uh, many of these tools are not solid and are not commonly used yet.</t>
  </si>
  <si>
    <t>183</t>
  </si>
  <si>
    <t>It didn't work for some specific tools that they wanted to present using this a katacoda, uh, website.</t>
  </si>
  <si>
    <t>184</t>
  </si>
  <si>
    <t xml:space="preserve">We invited people from the industry, and that was the only lectures that we had. ... So some students were a bit confused because of that, uh, because they didn't know the background. </t>
  </si>
  <si>
    <t>185</t>
  </si>
  <si>
    <t>Since the students were free to use any technology and present it ...  it was hard to stay as objective as possible and to have, uh, have the same criteria and metric for, uh, scoring different students, because someone was working on this project, someone was working on that project.</t>
  </si>
  <si>
    <t>186</t>
  </si>
  <si>
    <t>It was a bit risk because if they had contributed to something that, uh, that the developers didn't merge they wouldn't get, uh, get the score.</t>
  </si>
  <si>
    <t>187</t>
  </si>
  <si>
    <t>Let's say political challenge that you have to convince in a way that DevOps is not purely technical and that it's must be part of an academy curriculum.</t>
  </si>
  <si>
    <t>188</t>
  </si>
  <si>
    <t>The second point that the second challenge would be [...] skills.  I'm working on software engineering and I'm working on how to build software since the gate.</t>
  </si>
  <si>
    <t>189</t>
  </si>
  <si>
    <t>The fact that DevOps is not just purely technical, it would be related to the fact that it's really complicated teach on a given semester because you have, let's say 13 to 15 weeks, three hours a week, and then you have to go through you can't address like large, large project because it doesn't fit in the semester.</t>
  </si>
  <si>
    <t>190</t>
  </si>
  <si>
    <t>How this practitioner really works, because if you're not doing this, then you will stay at a very technical level. Like you deploy a pipeline and you're doing DevOps, which is absolutely not the case. And that's absolutely not the, uh, understanding of what DevOps is.</t>
  </si>
  <si>
    <t>191</t>
  </si>
  <si>
    <t>If you give artificial example or small toy example, then it's just going about configuring small things. So naturally naturally what DevOps is, uh, it's really complicated to make the students experience a cultural change and those kinds of things, because there's, well, there's no culture of, uh, industrial project in a school because it's academic project or it's teaching how to behave in a industrial project.</t>
  </si>
  <si>
    <t>192</t>
  </si>
  <si>
    <t>193</t>
  </si>
  <si>
    <t xml:space="preserve">There's a gap between what we can experiment during the course, what can be presented during the invited lecture from the industry, for example, those kinds of things and how, how whole, the things are connected together. </t>
  </si>
  <si>
    <t>194</t>
  </si>
  <si>
    <t>195</t>
  </si>
  <si>
    <t>That's really complicated as, um, like as a teacher, uh, then we decided to move for on premises, uh, version with our own, uh, systems for deployment building and everything, uh, another disaster, because then it requires a lot of maintenance and a lot of them, of course, or the students are going to work like in the two days before the room, the, um, the delivery of the project.</t>
  </si>
  <si>
    <t>196</t>
  </si>
  <si>
    <t>197</t>
  </si>
  <si>
    <t xml:space="preserve">We've tried to let the students, uh, deal with the setup and, uh, install everything on their computer with Dockerizing stuff and scan things. And that was yet another disaster because then it's not reproducible and it works on their computer, but then it's really complicated to make it work on the TA.
</t>
  </si>
  <si>
    <t>198</t>
  </si>
  <si>
    <t>Your Bamboo continuous to, uh, integration will just collapse because there's way too much students. My cohorts were 120 students a year. So when you have 120 students who all try to start their pipeline at the very same time, uh, in the last two days, and it's just a catastrophe and I mean, this thing will always happen.</t>
  </si>
  <si>
    <t>199</t>
  </si>
  <si>
    <t>Mean, captive of their platform and you also have to sign with your blood and agreements that you're doing it for academic purposes and those kind of things, because IBM can be quite aggressive with their partnership, um, policies. So except that I had to sign something that was a little bit too much from my perspective, this kind of tooling was good.</t>
  </si>
  <si>
    <t>200</t>
  </si>
  <si>
    <t xml:space="preserve">When you're talking to freshmen and they have no idea what's happening. Like they have a superficial idea of what's happening. Then it's like finding a way to explain them why the mindset is important. </t>
  </si>
  <si>
    <t>201</t>
  </si>
  <si>
    <t>The lab session, they have to be like really precise. You have to, it would work one day. And then the second day it doesn't work because there's an upgrade in the Docker API that makes things totally different. Or you you're, you're using it in the Dockerfile, you're using keywords. And then suddenly the new version of Docker decide that those keywords are deprecated and that you should not, uh, declared the authors this way.</t>
  </si>
  <si>
    <t>202</t>
  </si>
  <si>
    <t>203</t>
  </si>
  <si>
    <t>204</t>
  </si>
  <si>
    <t>205</t>
  </si>
  <si>
    <t xml:space="preserve">He grade scale was half description, half justification, and that's helped a lot, but it's always, um, qualitative in this way. It's, it's, it's really difficult to be quantitative and to have this, uh, uh, grade scale that is by the, uh, by the point. </t>
  </si>
  <si>
    <t>206</t>
  </si>
  <si>
    <t>An undergrad program, it's also something complicated because it's teaching at the undergrad program might make sense, but then it's other kinds of challenges like younger students who might not be interested in this.</t>
  </si>
  <si>
    <t>207</t>
  </si>
  <si>
    <t>208</t>
  </si>
  <si>
    <t xml:space="preserve">If you want to teach devops, it's really difficult to find, uh, supports, like finding a way to understand how it's towards elsewhere. It's really complicated because there's not a lot, of course that grant themselves as DevOps, basically because it's often hidden because it's something technical you're not supposed to teach. </t>
  </si>
  <si>
    <t>Duplicated ID</t>
  </si>
  <si>
    <t>Unique ID</t>
  </si>
  <si>
    <t>First Interview ID</t>
  </si>
  <si>
    <t>Interview Quotes</t>
  </si>
  <si>
    <t>Abstracts</t>
  </si>
  <si>
    <t>Main Idea</t>
  </si>
  <si>
    <t>Unique Interviews With P</t>
  </si>
  <si>
    <t>Temporary Cell</t>
  </si>
  <si>
    <t>Unique Interviews</t>
  </si>
  <si>
    <t>Duplicated Interviews</t>
  </si>
  <si>
    <t>Duplicated IDs</t>
  </si>
  <si>
    <t>All Interviews</t>
  </si>
  <si>
    <t>Amount of Interviews</t>
  </si>
  <si>
    <t>Amount of Same Interview</t>
  </si>
  <si>
    <t>BR interview</t>
  </si>
  <si>
    <t>Ex BR interview</t>
  </si>
  <si>
    <t>BR and Ex BR interview</t>
  </si>
  <si>
    <t>Comments</t>
  </si>
  <si>
    <t>01</t>
  </si>
  <si>
    <t>A recurrent problem is the level of students knowledge that they come when they start the discipline.
The lack of proficiency of some students in some criteria of this ends up making this practice difficult.
For those who are from infrastructure and are only used to accessing the server, building it with a tool like Maven, for example, can be a challenge for them.
Some people take a network course they know when IP addresses. Some people don't know what an IP address is.
Many students, even master's students who are going through this kind of a program are probably, are we missing one or two frames of reference? A lot of students come through approaching this from the software engineering side of the house. They're learning how to build applications and that sort of thing. They have no real experience on operations and simply standing up infrastructure in the cloud is not operations, right? It's an aspect of operations. It's important piece of operations, but it's not everything you don't necessarily have people with the expertise in network design capacity plan, security, identity management</t>
  </si>
  <si>
    <t>Insufficient knowledge level of students to start the course.
Students' previous lack of knowledge makes learning difficult.
It is challenging for students with an operating background to carry out software development activities, such as generating a build with the maven tool.
Students who came from the area of ​​software engineering lack experience in operational activities.
Some students don't know network concepts.</t>
  </si>
  <si>
    <t>04, 05, 08, 09</t>
  </si>
  <si>
    <t>052, 046, 094, 111</t>
  </si>
  <si>
    <t>To configure a environment needed to start.
I had difficulty setting up the infrastructure.
If you want a kind of hybrid discipline, in which you have the theory and applied practice, then the challenge will be different, then it ranges from having an environment for it to structuring the environment, or thinking about something like that, to making a virtual machine available.
We've tried to let the students, uh, deal with the setup and, uh, install everything on their computer with Dockerizing stuff and scan things. And that was yet another disaster because then it's not reproducible and it works on their computer, but then it's really complicated to make it work on the TA.</t>
  </si>
  <si>
    <t>Difficulty configuring and setting up the infrastructure needed to run DevOps experiments.
Difficulty in setting up the infrastructure.
Be concerned about the infrastructure used in the student's environment.
If you let the students deal with the environment setup on their computers, it will become not reproducible and complicated to make it work even with the teacher assistant.</t>
  </si>
  <si>
    <t>Setting up the infrastructure is difficulty.</t>
  </si>
  <si>
    <t>01, 07, 14</t>
  </si>
  <si>
    <t>014, 088, 197</t>
  </si>
  <si>
    <t xml:space="preserve">In many times, a professor would need computational resources to teach specific concepts [...] to configure real scenarios as much as possible.
Many times, you do not have access to computer resources to set up scenarios that you can actually teach labs or do, there, labs for students to learn.
Student machine capacity restriction.
We depend on the internet, I will give you a straightforward example, you will use the virtual machine, no matter how much you use Vagrant, for example, it needs to download a base image. And depending on the student's location, it takes two minutes and up to two hours.
If you're the things and they've launch, you know, Docker and Jenkins, that's it or JDK, that's it. There's no memory left. Um, so is the environment set up is hard. </t>
  </si>
  <si>
    <t>Few computational resources for setting up scenarios close to real ones.
Lack of computer resources for teaching the class.
Students may have learning difficulties due to their machine's capacity constraints.
Students may have limited internet access. It difficults activities such as downloading OS images to virtual machines.
Local environment set up is hard because it needs lots of hardware.</t>
  </si>
  <si>
    <t>Limited computional resources.</t>
  </si>
  <si>
    <t>01, 04, 04, 10</t>
  </si>
  <si>
    <t>004, 045, 047, 140</t>
  </si>
  <si>
    <t>Some datasets as Azure from Microsoft, which the federal institute has a partnership has limited trial time to test, and it is necessary to have a credit card and other related things which sometimes the students do not have.
There is no account, like, the teacher that he can make available, and there are resources for what students learn to set up these scenarios, right? Neither a local datacenter nor one of these commercials, many times it is not, it does not have all the possibilities you could use, at least not, without being linked to an agreement or something like that.
If you are going to make this CI in the cloud commercially, you will have to pay. It is not free. Free here just for us to play, right? However, if you want to put your company's system to do, I don't know how many integrations per week, you will have to pay for it.
Mean, captive of their platform and you also have to sign with your blood and agreements that you're doing it for academic purposes and those kind of things, because IBM can be quite aggressive with their partnership, um, policies. So except that I had to sign something that was a little bit too much from my perspective, this kind of tooling was good.</t>
  </si>
  <si>
    <t>Even through educational partnerships, using private cloud providers by students could be limited.
In public clouds, teacher use of student resource management is not widely available.
Using cloud services more professionally requires payment at a commercial level.
Cloud providers can have aggressive policies in the agreements for academic purposes.</t>
  </si>
  <si>
    <t>Cloud providers usage has limits.</t>
  </si>
  <si>
    <t>01, 05, 14</t>
  </si>
  <si>
    <t>006, 064, 199</t>
  </si>
  <si>
    <t>There is no accepted taxonomy of what the concepts of DevOps are.
There's a lack of frame of reference on even what operations is. Most people get into operations, at least in my experience sort of accidentally.
 How to express concept, formalize them. But at the same time also focus on those issues that are getting in the way, the non-industrial way of, you know, writing scripts that if you want to industrialize them and they become Bulletproof, it's a mess, right? It's difficult.</t>
  </si>
  <si>
    <t>There is no taxonomy about what are the main DevOps concepts.
There's a lack of reference on operations concepts.
It is difficult to express and formalize DevOps concepts. There is not bulletproof in devops.</t>
  </si>
  <si>
    <t>There is no convention about DevOps concepts.</t>
  </si>
  <si>
    <t>09, 10</t>
  </si>
  <si>
    <t>112, 132</t>
  </si>
  <si>
    <t>Seria uma incoerência? Creio que sim.</t>
  </si>
  <si>
    <t>We sometimes want to teach everything and we don't have infinite time[...] to fit the knowledge of DevOps, which is very broad knowledge and involves at least two distinct areas[...]
Making it fit was more difficult because sometimes the content is too long and time is limited.
The challenge in this aspect refers to [..] the issue of laboratories [...], but you always end up as a matter of time versus class development.
When I taught the DevOps course in my master's, it was DevOps from beginning to end, right? So I had to decide everything that was going to go into the content. There is a lot that was left out.
This area of ​​DevOps is gigantic too. So training is limited there. It is a forty-hour training, right?
My biggest challenge is that my course should be two semesters because it's just too much stuff to fit in one semester. [...] the challenge there is I had to put together a curriculum that had, um, a little bit about everything. [...] So it's challenging fitting all that stuff into one semester.
   There's lots and lots of information, which is why I give them lots of support during the week on slack. Um, but there's lots of information to cover. And because it's so challenging, I don't get to cover a lot of once you deploy it, how do you monitor it? Uh, right. And, and, and how do you, how do you, you know, go through the logs? And I mean, we do a little bit of looking at the logs when we deploy it to figure out if it's working, but I don't do a lot of the ops side of DevOps.
And in terms of operation, a lot of the stuff that we tend to do at university tends to be fairly small because there's just realistic time constraints for how much people can get done in a week or two, or even in a term or a semester. ...  that I've found is a little bit of misconception or at least prejudice around what devops actually is.
Because in though in the ops part, and this is the stuff I typically don't have as much time for simply because I know most of the students are coming from the software development side of the house.
That's exactly. That's a lot for one semester.
I introduced the concept of them speaking about continuous integration, continuous, and delivery and continuous deployment. But, uh, in, in practice doing the remaining stage in the lab is very challenging because we don't have enough time because it's three months.</t>
  </si>
  <si>
    <t>Insufficient time to address extensive DevOps knowledge in a limited-hour curriculum.
Insufficient time to address extensive DevOps knowledge in a limited-hour curriculum.
Limitation of the development of laboratory practices in class due to the short time.
There is a limited amount of time to teach the devops content.
Lots of DevOps content to teach with little time available (40 hours).
DevOps has too much contents and it's hard to fit it in a semester.
No time to teach operations side.
Realistic time constraints prejudice around what devops actually is.
In devops course with dev and ops together, ops part are not touched because dev parts take a lot of time.
One semester is insufficient time to teach DevOps.
Labs of continuous integration and continous delivery are challeging because there is not enough time in three months.</t>
  </si>
  <si>
    <t>Insufficient time in the course to teach DevOps.</t>
  </si>
  <si>
    <t>01, 03, 05, 06, 08, 08, 09, 09, 10, 11</t>
  </si>
  <si>
    <t>010, 033, 065, 074, 108, 109, 117, 122, 150, 157</t>
  </si>
  <si>
    <t xml:space="preserve">[...] I couldn't set up a DevOps environment due to restrictions even with administrative authorization.
 That simply wasn't a possibility and computer labs are not equipped for that sort of a thing because of necessity. Universities have to lock down their software and hardware to keep really bad things from happening.
You have the machines where you deploy to. Um, and quite often the students are in the same classroom on the wifi of the universities or the under the sub network, but the ports are not open [...] you need a lot of machines interconnected, um, with visibility on each other that they can get to. And that's hard in a, in a, in a classroom environment this year I had 78 students.
All of those challenges are basically how do you rebuild an enterprise environment into a university environment that is much more restrictive and doesn't have enough machines for them. Usually that's a real challenge.
</t>
  </si>
  <si>
    <t>Difficulty in getting authorization and lab resources from the institution to install tools in order to setup a DevOps environment.
University labs have restrictions on installing tools.
The academy has network limitations to create near-real infrastructure.
It is difficult to build an enterprise environment into a university environment that is much more restrictive and doesn't have enough machines for them.</t>
  </si>
  <si>
    <t>Institutions' resources have limits.</t>
  </si>
  <si>
    <t>09, 10, 10</t>
  </si>
  <si>
    <t>114, 134, 136</t>
  </si>
  <si>
    <t xml:space="preserve">
There wasn't a tool to configure the environment [...] or to automate these environments then [..] since it became manual.</t>
  </si>
  <si>
    <t xml:space="preserve">Pode entrar em conflito com o desafio único 14 que fala sobre haver muitas ferramentas disponíveis para se trabalhar com DevOps. </t>
  </si>
  <si>
    <t>Isso está relacionado a montagem de infraestrutura</t>
  </si>
  <si>
    <t>02</t>
  </si>
  <si>
    <t>There is no such literature in the area of ​​enterprise systems.
A partner editor, including the board, who brought a catalog of books for us to take a look at, and I went after it, including a book on the subject, right? From corporate systems, right, from this part of DevOps, and simply, I didn't find it in the catalog.
The even greater difficulty, which I can point out, is precisely the structuring, really, perhaps of the sequence of classes, because we do not have this material that guides.
It is a discipline with no definition, so there is no introductory textbook. There is not something totally agreed upon between the community of what it is, when it is applied, and such.
The course preparation is very difficult [...] there will not be that much paper, article because it is very new.
 And then the books are more industry oriented. Like, uh, we don't look at the, uh, uh, more with teaching parts, like, um, so there is no textbook, actually it is more industry document, eh, discussion about DevOps.
 what we sit and do, but, uh, so from the lab perspective, that's interesting, but on the teaching side, as I said, like, uh, having limited material, make the teaching a little bit more difficult.
your books are written mostly with the different projects in mind. Like they are thinking about people working in the company, but not thinking about students who are learning. And this makes it very difficult to design a DevOps curriculum where you cover a hundred percent DevOps in one course.</t>
  </si>
  <si>
    <t>Difficulty finding book on corporate systems related to DevOps.
Literature in the area of ​​enterprise systems related to DevOps is insufficient.
Difficulty in structuring classes due to lack of reference material.
There is no fully agreed community base text.
There are not so many scientific articles on which to base course preparation.
The books are more industry oriented. There is no textbook about with discussion about DevOps concepts.
There's limited material to teach.
Books are designed to company professionals and not about to students who are learning.</t>
  </si>
  <si>
    <t>Insufficient literature related to teach DevOps.</t>
  </si>
  <si>
    <t>02, 02, 05, 05, 11, 11, 11</t>
  </si>
  <si>
    <t>024, 028, 054, 055, 151, 153, 162</t>
  </si>
  <si>
    <t>Once it's deployed, how do you manage to monitor and give and maybe get feedback from the customer, maybe things to improve, the monitoring of the system itself, this part is a challenge, really, to be able to show it to the student and maybe , make him face it from a more professional perspective, because already imagining that he is going to the market and will come across these many situations there.
When they arrive, many use another environment[...] they put the system there and they don't have to worry too much about other details[...] We really ask them to make this migration for them to have this other view, this aspect of setting up the environment. Putting it into production and keeping this system working.[...] I think this can be seen as a challenge, which is to convince students to give importance to this, the importance of them knowing these aspects too, not leaving it so transparent to them too.</t>
  </si>
  <si>
    <t>It is difficult to make the student face teaching scenarios with a more professional perspective, with production-level monitoring.
Difficulty in making clear to students the importance of having a more realistic perspective of production, using other environments and leaving aside the comfort zone in which they may be inserted.</t>
  </si>
  <si>
    <t>The challenge of making students see this approach to operationalization, putting the system on the air, maintaining this system, adding new features and not breaking the system.
The concept of continuous delivery [...] The difficult thing is to put it into practice [...] when they, as a team, need to release a certain functionality and ensure that it doesn't break the system.</t>
  </si>
  <si>
    <t>Difficulty in teaching the student how to operate the system, allowing the addition of new features without breaking the system.
Difficulty for students to practice the concept of Continuous Delivery when it is necessary to add new features to the system without the build breaking.</t>
  </si>
  <si>
    <t>It's more this initial contact that seems to scare them a little more, it makes them go to others, when they arrive.
The part of actually putting an initial part has this shock of this reality there for the students in which they have to leave a tool that they are already there with the system running and bring it to our tool.</t>
  </si>
  <si>
    <t>The environment adopted by instructors can frighten students by making them migrate to other tools.
Students' initial difficult at having to switch from tools in which their applications were already working to the one adopted by the instructor.</t>
  </si>
  <si>
    <t>The process of making students migrate to other tools it's hard.</t>
  </si>
  <si>
    <t>VERIFICAR NAS OUTRAS PLANILHAS A MESCLAGEM COM O ID 21</t>
  </si>
  <si>
    <t>the docker, [...] to use, they usually have a greater difficulty in this theme, in the beginning.</t>
  </si>
  <si>
    <t>The challenges I can mention is precisely this part of you being able to demonstrate, right, to demonstrate to them all this tooling of ours.
The main challenge is that, in general, DevOps related tools are cloud-based systems.
In general, you have a wide range of solutions. You have a very large ecosystem of possibilities on how to test or demonstrate a concept.
A difficulty of technologies is about recognizing what is relevant to be addressed in the classroom, is not it? So, for example, there is much technology on the market.
Because the DevOps universe has millions of tools, technologies, and [...] It has an infinity of tools, they all meet the objectives. They are good and such.
This is a problem because of what happens: there are several tools, and we always have to close on some for the didactic nature of experimentation.
The other big challenge is: technology. People come with Macs, people come with windows, people come with Linux. [...] So that's the other challenge is people coming in with different technology and then how do you teach them the same thing without saying: "oh, the command in windows is this and the command on a Mac is that."
It can be also challenging for the, if you have the lab instructor with handling all tools.</t>
  </si>
  <si>
    <t>There are a large number of DevOps tools available.
Many DevOps tools are cloud based.
Many DevOps tools and usability available.
Difficulty in deciding which technologies to teach, given the wide variety available on the market.
There are many DevOps tools.
There are many DevOps tools to choose from.
It's hard to deal with many options of tools.
The lab instructor should handle many tools.</t>
  </si>
  <si>
    <t>There is a large number of DevOps tools.</t>
  </si>
  <si>
    <t>03, 03, 05, 06, 07, 08, 11</t>
  </si>
  <si>
    <t>029, 032, 063, 076, 081, 095, 155</t>
  </si>
  <si>
    <t>03</t>
  </si>
  <si>
    <t>The main challenge is to correctly convey to students the idea that DevOps is about a culture.
It is the cultural challenge of I am not going to deliver a ready-made recipe.
How to apply these things from Devops in companies [...] there is a great difficulty that is cultural. Companies have always organized themselves in this way, separating movement from infrastructure, not having collaboration, not having communication, and this ends up generating friction, especially when problems arise [...] go on changing a little the company's culture, the process, the way people organize themselves, meet, and such, trying to remove the barriers there until it is natural and both teams work together [...] with a single goal, which is to develop, deliver software that works and solve problems as quickly as possible.
Trying to contextualize this too is very difficult.
Culture is difficult to teach.</t>
  </si>
  <si>
    <t>Difficulty to teach the DevOps culture.
There is no ready-made recipe to teach the DevOps mindset (culture).
Difficulty breaking through resistance to the DevOps culture and its principles.
Difficulty contextualizing the DevOps culture.
Culture is difficult to teach.</t>
  </si>
  <si>
    <t xml:space="preserve">DevOps culture is hard to teach. </t>
  </si>
  <si>
    <t>04, 06, 06, 08</t>
  </si>
  <si>
    <t>043, 070, 072, 092</t>
  </si>
  <si>
    <t>The student hopes to [...] learn that killer tool, which will help in the practical context of his life, whether in the process of development, security or operations. [...] wants to know the tools much more than understand the DevOps culture.
The first challenge is to decouple the idea that about DevOps [...] to deliver a formula.
The students arrive with the idea that they have a set of X tools to deliver in their daily lives and tools only a piece and a small piece within the delivery process, which is more cultural and more personal than tooling, huh? Organizational even, I would say.
It is to set expectations when he signs up that the entire course is not tooling and that no, we will not use the best stacks in the market.
Give this view that DevOps is not just a tool [...] It is very much in line with agile movement.
Trying to show that DevOps is not just tools, trying to make people understand this and trying to change it during the class, so trying as best as possible to make people understand, right? That they will end up having to change the culture of the environment, right? The processes, the way they organize themselves.
 People coming through the programs want to play with technology. ... But what that tends to foster is a technology centric attitude about what devops is all about. ... That's half the reason we got into this field in the first place, and it's a really fun thing to be able to do, but it's not sufficient.
There's a big focus on tools.
DevOps doesn't equal CI/CD and DevOps doesn't equal automate the testing.
Let's say political challenge that you have to convince in a way that DevOps is not purely technical and that it's must be part of an academy curriculum.</t>
  </si>
  <si>
    <t>Students have a prior concept that DevOps is restricted to the use of tools, not being interested in the cultural part of DevOps.
Difficulty explaining to students that DevOps is not just about tools.
Difficulty in explaining to students that DevOps is not just tooling, it encompasses the cultural part.
Difficulty adjusting students' expectations, as most of them just want to use new tools.
Difficulty in being able to explain to the student that DevOps does not involve only the tooling part.
Difficulty breaking the student perspective that DevOps is just tools and automation.
Students came to course focused in the tools.
So many people only focus on the tools side from DevOps.
DevOps is not only CI/CD and automation.
Convince people that DevOps is not purely technical and it must be part of an academy curriculum.</t>
  </si>
  <si>
    <t>It's hard to show to students that DevOps is not all about tooling.</t>
  </si>
  <si>
    <t>04, 04, 04, 06, 06, 09, 11, 12, 14</t>
  </si>
  <si>
    <t>039, 040, 050, 069, 071, 118, 156, 177, 187</t>
  </si>
  <si>
    <t>04</t>
  </si>
  <si>
    <t xml:space="preserve">As people are remote, basically for training, there are several factors that influence the didactics. The home environment, even, that the person, sometimes, does not live alone, or has sons, daughters. This is not a problem for people, for me, a teacher, as a teacher, but for a person, sometimes, you can't open a camera. You can't do one, so dealing with these differences within the pandemic is important. It's not a problem, but it's a point of e also the differences from the infrastructure that the person has to take the course. A machine a little newer, older, pre-configured for work, there are companies that already have the machine ready for day to day and the course uses other configurations which are challenges that we have with the students to talk, look, I need version X, and the person does not have the installation permission.
</t>
  </si>
  <si>
    <t>[...] in many cases the assessment is still based on the traditional test model or on some fixed assessment process, with an X list of questions or something similar.</t>
  </si>
  <si>
    <t>The DevOps concept, it's very open, right, it encompasses different areas between development, security and operations.
You cannot teach DevOps without experiencing DevOps, right? You cannot read in a book and want to teach DevOps because DevOps is a very practical discipline. There is a lot that happens in practice. So, there is a lot of doubt, from concepts, about Kubernetes configuration error, for example. So, these are things that we have to deal with [...] So, venturing out to teach DevOps, parachuting, that is a big challenge because the level of knowledge you will have to collect for this is quite diverse and multidisciplinary.</t>
  </si>
  <si>
    <t>The teaching of devops is multidisciplinary, covering different areas such as development, safety and operation.
There is a very diverse and multidisciplinary knowledge in teaching DevOps.</t>
  </si>
  <si>
    <t>The multidiscuplinary of DevOps is hard to deal with.</t>
  </si>
  <si>
    <t>07</t>
  </si>
  <si>
    <t>If the student is in a context where he has always been in the academic area or he has never had practical contact with any of these features of software development, it is likely that it will be much more challenging for him.
If the student is in a context where he has always been in the academic area, or he has never had practical contact with any of these features of software development, [...] for the teacher, it becomes much more challenging to teach the DevOps concept this student profile.
The main challenge remain the able to, to, to teach the fundamentals. I think that this type, of course almost requires some type of industrial experience, because if you've not been in contact with the industry, there are so many things that are, um, more difficult to, to, to eally understand.
Teaching this course, it's possible to teach it with students with no experience, but it makes the thing like this. I've been trying to have interactions with the students about, I know certain topics become quite difficult because they cannot relate it to anything concrete.
It didn't work for some specific tools that they wanted to present using this a katacoda, uh, website.
I mean, there are students, so they are, they are not in the industry yet. And so that's, that would be the main part to make the student understand that it's, it's not about configuring Jenkins or having Docker running on their computer.
When you're talking to freshmen and they have no idea what's happening. Like they have a superficial idea of what's happening. Then it's like finding a way to explain them why the mindset is important.</t>
  </si>
  <si>
    <t>There is a greater difficulty in understanding devops by students whose background is more academic, who have no experience in software development or direct operation.
It is difficult to teach students with more academic training that have no experience in software development or operation directly.
It is difficult to teach DevOps concepts without industry experience.
It is difficult to teach students with no industrial experience.
The students don't have the proper background to listen the lecture of people from the industry.
The students without industry experience can have difficulty to understand that DevOps is much more than using tools.
It is difficult to explain the importance of DevOps mindset to students that have a superficial idea of what is happening to industry.</t>
  </si>
  <si>
    <t>Teach DevOps concepts to students no industrial experience is hard.</t>
  </si>
  <si>
    <t>03, 12, 12, 13, 14, 14</t>
  </si>
  <si>
    <t>037, 168, 181, 184, 192, 200</t>
  </si>
  <si>
    <t>DevSecOps [...] is the type of discipline that requires strong knowledge in two areas, both distinct, in the security area, but at the same time in the development area to be able to find the link between the two and then yes, get to what the student.
The second point that the second challenge would be [...] skills.  I'm working on software engineering and I'm working on how to build software since the gate.</t>
  </si>
  <si>
    <t>The teacher needs good technical knowledge in the areas of security (especially vulnerability management) and systems development to teach DevSecOps.
Skills to teach DevOps are challeging.</t>
  </si>
  <si>
    <t>14</t>
  </si>
  <si>
    <t>The second challenge is people with different experiences [...] you have mixed classes, so at a point in the course where you talk about a specific programming language to give an example. Some are more familiar than others. [...] So, knowing how to deal with these differences to make the course pleasant for everyone and comfortable for everyone, this is a great challenge.
We have a standard agreement, not an agreement. It is a convention that we have which is the following, people are different, see? [...] they have different backgrounds, they have different life stories, experiences that marked them in different ways.
In both classes that I taught [...], there was a challenge of class heterogeneity. You have very proficient people in the development and have no idea about the server, Linux and environment configuration, tools, the other spectrum. People who came from operational, System admin itself is not so proficient in the programming part, in code.
Each student in the class brings a different experience, different challenges, and trying to generalize this is more complicated.
One of the challenges is how do you teach people from these different backgrounds [...]  there is so much technology that comes together in DevOps, that the challenge is how do you get everyone up to speed on an even right? So that we can all move forward together and learn together. So, so that's a big challenge.
Some of them do have a lot of programming and are fairly mature, but because when we recruit, they be coming from different schools.</t>
  </si>
  <si>
    <t>Difficulty in knowing how to deal with groups of students who have very different experiences.
Students in a class have different backgrounds, life stories and experiences.
Difficulty in preparing classes with students at different levels of proficiency in development and operation.
Dealing with the different experiences and perspectives of each student.
It's hard to teach people with different backgrounds.
Students have different backgrouds.</t>
  </si>
  <si>
    <t>It's challeging to deal with students having different backgrounds.</t>
  </si>
  <si>
    <t>04, 05, 06, 08, 10</t>
  </si>
  <si>
    <t>044, 051, 073, 093, 147</t>
  </si>
  <si>
    <t>09</t>
  </si>
  <si>
    <t>Doing infrastructure as code or forms of configuration management or containerization, or even the simpler things like treating build scripts as first-class citizens alongside your code, start to not be meaningful until you have code at some minimum scale where there's a certain minimum complexity, both in terms of construction.
If you give artificial example or small toy example, then it's just going about configuring small things. So naturally naturally what DevOps is, uh, it's really complicated to make the students experience a cultural change and those kinds of things, because there's, well, there's no culture of, uh, industrial project in a school because it's academic project or it's teaching how to behave in a industrial project.
So it was lectures and labs and like a small project, but it was wasn't really satisfactory.</t>
  </si>
  <si>
    <t>Devops concepts like configuration management and contaizerization need examples with mininum scale and complexity.
The students can have difficulty understanding the DevOps culture working on a small example.
Small project wasn't really satisfactory.</t>
  </si>
  <si>
    <t>Small examples weren't really satisfactory.</t>
  </si>
  <si>
    <t>14, 14</t>
  </si>
  <si>
    <t>191, 204</t>
  </si>
  <si>
    <t>The DevOps concept, it's very open, right, it encompasses different areas between development, security and operations.
The expectation of students to deliver something, by hand, because they are technical people, is to be able to balance what is concept and what is practical and show the importance, the value of what you are explaining.
This part of culture and such, which is, let us say, more boring, right? That people go there wanting to see tools, right? So, how to balance, right? Talk a little non-technical things with technical things.
The challenge is this: having the non-technical part with the technical part, pondering both, and addressing these main topics, right?
The point is how do we adapt DevOps in concept in a way where we, we are still take keeping in mind the theoretical foundation, but where make it making it interesting from an industry or practical perspective.
The challenge is, in my opinion, is, is to, to strike this balance between, between, um, concreteness, like work with technologies, because essentially, uh, DevOps is yes, a philosophy. 
To strike a balance. The students are of course, very keen about the products and telemetry about the product and, and, and, and building Docker containers. And, but what I want them to reflect, I mean, the whole goal of DevOps is to make the process effective, very, very efficient.
There's a gap between what we can experiment during the course, what can be presented during the invited lecture from the industry, for example, those kinds of things and how, how whole, the things are connected together.</t>
  </si>
  <si>
    <t>Difficulty in making the association between theory and practice.
Difficulty balancing theory foundations and make them interesting in the practice.
Difficulty in balancing the teaching of theory (culture) and practice (tools).
Challenge to balance theory and practice.
It's challenging to teach DevOps concepts that have theoretical foundations and make them interesting from the industry perspective.
It is difficult to balance the concreteness (technologies) and the philosophy (concepts) of DevOps.
It is difficult to balance the usage of tools and making the DevOps process effective and efficient.
There is a gap about how to connect the lectures with the labs.</t>
  </si>
  <si>
    <t>It's challeging to balance DevOps theory and practice.</t>
  </si>
  <si>
    <t>04, 06, 06, 11, 12, 12, 14</t>
  </si>
  <si>
    <t>048, 075, 077, 152, 166, 173, 193</t>
  </si>
  <si>
    <t>For you to be able to look at all the students is very difficult, I understand why some cannot open the camera. It does not have the capacity or technology or structure to open, talk to you. Communication is broken, no matter how much we open it all the time, even if Zoom allows it. It is different from everyday life in the classroom because you cannot look at the student and see how he is reacting to that content. Not that you only adapt to one student, but you do not have the personal perception of doubt. Sometimes you can look at the student and say, oh, I think that was not clear to him. It is a challenge.
Because of the remote learning [...] I've been teaching my classes on zoom. And so, uh, that makes it very hard to do hands-on because I can't see the students right. While I'm doing the hands-on. So I can't see the puzzled look on their face and say, okay, I just lost them.
To make the lecture attractive students have to willing to interact. Right. Which is very difficult to do. And of course, uh, zoom teaching, uh, makes it a challenge.</t>
  </si>
  <si>
    <t>Difficulty in monitoring and keeping in touch with all students effectively during remote learning classes.
It's hard to do hands-on on remote learning because the teacher can't see the students face.
It is very difficult to interact with students in lecture remote teaching.</t>
  </si>
  <si>
    <t>Comunications with students is hard when classes are remote.</t>
  </si>
  <si>
    <t>08, 12</t>
  </si>
  <si>
    <t>106, 179</t>
  </si>
  <si>
    <t>05</t>
  </si>
  <si>
    <t xml:space="preserve">There's still this challenge of understanding these tools, environment, network, configuration, you know? So, I think one challenge brings the other, right? I would say this is a challenge, too.
</t>
  </si>
  <si>
    <t>This part of the system, which I ask them to do to monitor the discipline, [...] ok, I'll give you a system, will it be an open source system? Me too, you know? Since I can give you a system, let's use a real system that isn't a joke. So, like, I think of a great open souce system there, that has testing, has a shitload of stuff, has continuous integration and has I don't know what, and you can select the test battery that will be used in each corner, You know?
You have to make a business case. It's a lot harder to do.
The challenge sometimes is finding a good open source application, which is not too big also because you don't want the project to be too big. You don't want it to be too small, but you don't want too big. So, so finding something in between, which can be used. And, and, uh, so.
The challenge for us is getting an application, which is interesting [...] you know, like they can use.
The fact that DevOps is not just purely technical, it would be related to the fact that it's really complicated teach on a given semester because you have, let's say 13 to 15 weeks, three hours a week, and then you have to go through you can't address like large, large project because it doesn't fit in the semester.</t>
  </si>
  <si>
    <t>Difficulty selecting an example system realistic enough for students to use during the course.
It is hard to do a business case to demonstrate the importance of running devops.
It is difficult to find the right sized open source project to use. It is should be not too small and not too bit.
It is difficult to find an interesting sample application that students use.
Students can't work on large projects in 13 to 15 weeks three hours a week course.</t>
  </si>
  <si>
    <t>It's challeging to find the right sized examples to teach DevOps.</t>
  </si>
  <si>
    <t>09, 11, 11, 14</t>
  </si>
  <si>
    <t>124, 154, 159, 189</t>
  </si>
  <si>
    <t>So, because then, if I make this system, I can pass it on to people in a much simpler way, right? How do they do things and such, but then we also know that there are challenges, right? Wow, this is not that simple, will I have time to do it, right?
There is no time for, for example, structuring complex environments [...] I know it is not the reality in the market, very few companies I had contact that set up their environment from scratch on the nail, in a set of internal servers.</t>
  </si>
  <si>
    <t>Lack of time for teachers to develop a ready-made and well-crafted example system.
Lack of time to structure more complex environments with students.</t>
  </si>
  <si>
    <t>Lack of time to prepare classes to teach DevOps.</t>
  </si>
  <si>
    <t>If I make this system [...] We, professors, sometimes are not the most proficient programmers there are, so maybe what we write is not in accordance with what is happening in the market today.
So it is in line with what is happening in the community as a whole, right? Always trying to bring it, because this area, specifically, it runs very fast. So, every semester I run this discipline once a year, there are very strong updates on what is happening.
You have to change the tools almost every semester or every two years. You've got to look at what are the popular tools right now.
So the challenge for me is that the cloud is constantly evolving. And so every semester what I try to do in my class, in my labs, I have snapshots of screenshots and circles and arrows and, you know, click on this and move there. Um, and that changes constantly.
So there's a lot of preparation in making sure that the tools still work the way they should, that the cloud still works the way they should, um, that the code doesn't have vulnerabilities in it. And that you've got all the right versions of stuff. So that's a lot of, uh, preparation then of course, as I said, you know, new technologies, like when Kubernetes came around, you know, you have to add Kubernetes to the class, constantly adding new technologies to the class move.
The big challenge for me right, is, uh, is keeping up with the technology [...] so it's just challenging to keep up with all the new technology that's out there in DevOps.
And so every so often I'll get folks who have taken one class and then they start using the wrong version of the tool for the second class, because they have an upgraded or something along those lines. 
We move through some technology on the application side, we'll move through a little bit of technology on the operation side. What does change is trying to keep up to speed and keep the class adjusted for, uh, what the current state of the art and the current understanding of best practices.
There's always double checking the technology, making sure that if you've got any automation in your class, it still works after all of the API changes may have gone into effect on say your cloud provider or, or whatever, making sure you're on the latest and greatest versions of whatever tooling that you're going to use and make sure that the hat that hasn't broken things and always missing something and suddenly be scrambling before class going, oh no, no, no. They've changed something. I need to figure this out.
Um, we got bit by that quite a few times where we built the stack plus G unit plus, uh, we use, um, uh, some additional libraries for front-end, uh, some scripts for building Docker images, some version of Maven, and you need an Artifactory, et cetera. You can get everything set up, everything works fine up to June. Then you go on summer break and then the next session comes up in September and you use what you've built well, too bad. In the middle of the summer, Jay, you need to release a new version that requires where some acts of Maven that requires this version of the stack of the student install from scratch on their machine.
The main, uh, challenge that we had was that DevOps is, there are many too many tools and, uh, many of these tools are not solid and are not commonly used yet.
 I mean devops is always evolving and we are not what we consider DevOps here is different for, from what was considered DevOps, let's say five years ago.
The lab session, they have to be like really precise. You have to, it would work one day. And then the second day it doesn't work because there's an upgrade in the Docker API that makes things totally different. Or you you're, you're using it in the Dockerfile, you're using keywords. And then suddenly the new version of Docker decide that those keywords are deprecated and that you should not, uh, declared the authors this way.
So keeping things up to date and making things work like really working in, in, in being able to run the labs, not in panic mode, that everything was fragile and everything was able to collapse at any point was really stressful. And of course, a lot of things, I think it costs me like twice or three times the cost of preparing a regular course.</t>
  </si>
  <si>
    <t>Difficulty for teachers to keep up with the state of the art in the industry.
It is important to be up-to-date on industry tools every six months.
Every semester is necessary to update tools used on course.
The cloud are constantly evolving and it breaks labs every semester.
Lots of preparation to keep tools and environment working, secure and updated.
Keep up with new technologies is challenging.
Tool versions upgrades require updating the labs during the classes.
It is difficult to keep up the current state of art of devops industry practices.
Devops tools and APIs change fast and it may break your labs.
Exercises can be outdated in few months.
Many tools and some are not mature and not commonly used yet.
DevOps is always evolving fast in the last five years.
Lab session works one day and then doesn't work because there are changes like update in Docker API.
Keeping things up to date and making things working the labs is really stressful and time costing.</t>
  </si>
  <si>
    <t>It's challeging to be up-to-date with industrial DevOps tools.</t>
  </si>
  <si>
    <t>07, 08, 08, 08, 08, 09, 09, 09, 10, 13, 14, 14, 14</t>
  </si>
  <si>
    <t>085, 098, 104, 105, 110, 120, 125, 127, 138, 182, 194, 201, 203</t>
  </si>
  <si>
    <t xml:space="preserve">[...] it turned out that a lot of people did it in [...] different environments [...] for us, teacher, often we are not proficient in all of these.
Yeah, so challenges, um, differences in people's environments, their hardware, for example, every term, you know, if I want people to do something locally with, let's say, setting up virtual machines or containers or, or whatever, there's always some buddy who has some strange hardware configuration that causes problems.
We have some students on Mac, some on Linux, some on windows, some have, um, computers that are led by the university. They came up to class with computers, with family version of windows that cannot run Docker because there is no hypervisor in it.
</t>
  </si>
  <si>
    <t>Difficulty supporting the use of several different tools and environments at the same time.
Differences in people's environments and their hardware configuration cause problems.
Different types of OSs can difficult the flow of environment setup.</t>
  </si>
  <si>
    <t>It's difficult to deal with different hardware and software.</t>
  </si>
  <si>
    <t>119, 139</t>
  </si>
  <si>
    <t>Then the boy will go in a week, he will only have his entire environment set up, right? But, this creates challenges too, right? That it will be difficult to do this and such.
We had to work to do on the labs. ...  the assistant I had two for the labs was too busy with too many things.
That's really complicated as, um, like as a teacher, uh, then we decided to move for on premises, uh, version with our own, uh, systems for deployment building and everything, uh, another disaster, because then it requires a lot of maintenance and a lot of them, of course, or the students are going to work like in the two days before the room, the, um, the delivery of the project.</t>
  </si>
  <si>
    <t>A lot of time preparing the initial environment setup of students.
Lots of work to setup the labs even if you have teacher assistants.
On premises systems for deployment everything is complicated because it requires a lot of maintenance and time.</t>
  </si>
  <si>
    <t>Prepare the labs environment requires a lot of time.</t>
  </si>
  <si>
    <t>12, 14</t>
  </si>
  <si>
    <t>165, 195</t>
  </si>
  <si>
    <t>Material heterogeneity is the biggest challenge. You have to set up a class sewing the fonts, right?
When I started preparing, there was not a buy the book, a "kit" a suggestion for a course, there for you to start, it is a good start, right?</t>
  </si>
  <si>
    <t>There is no unified material for teaching DevOps.
There is no complete material to teach DevOps.</t>
  </si>
  <si>
    <t>Unknown unified material for teaching DevOps.</t>
  </si>
  <si>
    <t>Because you take so many different things that I feel a bit sorry, in quotes, to pass everything on to the students. ... So, I think it's a difficulty, from the point of view, like, the pedagogical type of setting up the classes and such. It would be that, the condensation of everything, let's say, the centralization of the material in what you produced, right?
I use a couple of books, um, and, uh, as I said, to to be able to own, um, they cover many different topics. And so I tried to use one over, two picks in it. [...] I still think that, uh, the idea scenario would have been able, will have been, to be able to do a situation where I can take several topics in the book and then cover them from the beginning to them. But, uh, I haven't been able to find that possible yet.</t>
  </si>
  <si>
    <t>Difficulty in resuming sufficient and suitable material for class lessons.
It is necessary to use multiple books because they do not cover all concepts.</t>
  </si>
  <si>
    <t>Difficulty in using multiple materials to create the classes.</t>
  </si>
  <si>
    <t>11</t>
  </si>
  <si>
    <t>And sometimes you took a little bit of such a thing, right? Not all that text was relevant, you know? So, your material ends up becoming the only source, let's put it that way. For students, I've already figured that out, like, you know? People studied and such, they went a lot for the material I prepared. When the material I was preparing was, let's say, it was a set of slides, right? Which doesn't serve that much, from the point of view, right, from having a more in-depth reading and such. So, I think it's a difficulty, from the point of view, like, the pedagogical type of setting up the classes and such.
There are concepts of collaboration, communication, organization that are a little subjective, right? So, it's a little harder for you to evaluate.
So, all this traceability of what was done to what they are going to do, was the very difficult part [...] So, you can't think about doing a theoretical thing, you have to have practice, you can't just to be just practical exercises, it has to have a whole journey, a well-established train of thought. It was quite tricky to get to that topic.
 So part one is the three ways, just give you an overview of the, each of the three way. And then you have one part essentially for each of the three ways. And I think that the first two parts of the book you can find online, but, but not, not as a, someone who puts it in PDF, but from the publisher, from, from revolution, publisher and official version. So you can read it from the way.</t>
  </si>
  <si>
    <t>Students rely heavily on the teacher's slide material, which is often limited.
The students don't read the suggested book even if you strongly encourage them.
Students tend to get short free versions and not full versions of books.</t>
  </si>
  <si>
    <t>Students rely on limited material instead of reading books.</t>
  </si>
  <si>
    <t>12, 12</t>
  </si>
  <si>
    <t>169, 180</t>
  </si>
  <si>
    <t>06</t>
  </si>
  <si>
    <t>There are concepts of collaboration, communication, organization that are a little subjective, right? So, it's a little harder for you to evaluate.
The teaching plan, where I am going to start, where I am going to go, what is next. So, structuring this sequence of subjects to be covered, of how you are going to connect the subjects, which is the hardest part.</t>
  </si>
  <si>
    <t>Difficulty in structuring the learning journey.
Difficulty to create a teaching plan, especially connecting the covered subjects.</t>
  </si>
  <si>
    <t>team of monitors [...] If you don't have it, it gets heavier, it's more difficult, you alone evaluate. Take a class with forty students, even if you divide it into teams, it's a lot for you to evaluate.</t>
  </si>
  <si>
    <t>the real challenge was when I started doing it, which I didn't have any. Then, building from scratch is more difficult, there is no baseline. [...] [...] these types of challenges, they are more related to the nature of the subject, not the object, that is: what type of content, how will you conduct this course, how will you want to conduct the discipline.
I didn't find any course, really I was looking for courses in devops, like yes, there were courses that talk about kubernetes that these, yes. There are courses that talk about, uh, integrated testing. Yes. There are courses. We talk about AWS and cloud, but I didn't find any course on devops that I can two years ago that I'm almost like three years ago now when I started to work on it, um, use as a basis. Right. So the first semester was a nightmare. 
In 2018, 2019, and yet no universities have a program in DevOps, no universities, essentially very few universities have a course in DevOps.
If you want to teach devops, it's really difficult to find, uh, supports, like finding a way to understand how it's towards elsewhere. It's really complicated because there's not a lot, of course that grant themselves as DevOps, basically because it's often hidden because it's something technical you're not supposed to teach.</t>
  </si>
  <si>
    <t>Difficulty in setting up classes without a prior reference ones.
It isn't easy to create a DevOps course without having another course as a reference.
Few universities have a DevOps course.
It's really difficult to find supports if you want to teach DevOps.</t>
  </si>
  <si>
    <t>It is difficult to create a DevOps course without a previous reference ones.</t>
  </si>
  <si>
    <t>12, 12, 14</t>
  </si>
  <si>
    <t>174, 176, 208</t>
  </si>
  <si>
    <t>This teaching plan is not and should not be completed, right? He doesn't have it, he's never ready. ... Things change too fast, the focus changes too fast.</t>
  </si>
  <si>
    <t>"DevOps ends up forcing you to tap into a lot of other universes, right? Especially if you go into project as an evaluation method. So, that's another big challenge, you keep an eye out for what's going on, which can be correlated and which you can bring as an open scope to be worked also in the discipline, with this type of direction. Which in my case, comes AI student, Bank student, Software Engineering student, pay for the post, and that then you can't just stay in the context of developing software, delivering software on DevOps, right? There's a whole other context of things related, for example, to operation, infrastructure analysis, learning, prediction, and so on.</t>
  </si>
  <si>
    <t>08</t>
  </si>
  <si>
    <t>There are several environments in the cloud, but they all cost money.</t>
  </si>
  <si>
    <t>You have to find a set of tools that work together.
 For many people, getting them all to work together can be particularly challenging.</t>
  </si>
  <si>
    <t>You have to find a set of tools that work together.
For many people, getting all technologies to work together can be particularly challenging.</t>
  </si>
  <si>
    <t>Getting all DevOps tools to work together is challenging.</t>
  </si>
  <si>
    <t xml:space="preserve">A big challenge is students learning to be, um, to be agile working as a team pair programming. 
Lot of those concepts are hard to teach in a classroom setting.
That's kind of challenging getting them to be agile, getting them to think agile, get into think minimum viable product, right.
How do you work in sprints? </t>
  </si>
  <si>
    <t>It is difficult to students learning agile techniques like pair programming.
A lot of agile concepts are hard to teach in a classroom setting.
It's challenging the students to be and to think agile into mininum viable product.
It is difficult how to organize each sprint.</t>
  </si>
  <si>
    <t>It is difficult to teach agile techniques.</t>
  </si>
  <si>
    <t>08, 08, 10</t>
  </si>
  <si>
    <t>101, 102, 146</t>
  </si>
  <si>
    <t>It is difficult to learn many agile techniques in classroom setting like work in pair programming, think into minimum viable product, and organize each sprint.</t>
  </si>
  <si>
    <t>It can be a little harder garner garnering some of that same thing from, from industry, you know, unless you happen to find reasonably wit reasonably written, uh, white papers or, or things along those lines.</t>
  </si>
  <si>
    <t>It is hard to find strategies from industry unless if it written in a paper.</t>
  </si>
  <si>
    <t>The challenge of course, is newer students obviously have more than enough to worry about just getting code wrong and compile. Uh, but that's, that's the reality, unfortunately, is the code just doesn't run a compile on a laptop, right? It runs out in production and it's serving real people. And in this day and age, there is, there is stuff that goes with that. And the more folks understand, at least some of the sooner, the better I hope the software will be.</t>
  </si>
  <si>
    <t>Human challenges are when you start teaching DevOps, it doesn't look serious.
So one of the challenges regarding the culture, if you want, is that when you tell them that initially they don't believe it. And only when they start doing it, they do believe it. 
Whatever they found it valuable usually, um, after the class is done at the end of the year, they don't always see the value. It's the kind of class where you want them to know this stuff, because once they will be in the industry, they'll need it every day. Um, but they don't know they need it every day. 
An undergrad program, it's also something complicated because it's teaching at the undergrad program might make sense, but then it's other kinds of challenges like younger students who might not be interested in this.</t>
  </si>
  <si>
    <t>When you start teaching DevOps, it doesn't look relevant.
Students only believe the importance of DevOps mindset when they experiment in the practice.
Students do not know that they will need DevOps concepts at industry every day.
Young undergraduate students can have no interest in DevOps course.</t>
  </si>
  <si>
    <t>DevOps course doesn't look relevant for undergratuate students when you start teaching.</t>
  </si>
  <si>
    <t>10, 10, 14</t>
  </si>
  <si>
    <t>141, 148, 206</t>
  </si>
  <si>
    <t>Uh, so that's a practical challenge that when you want to put it in place, and as a teacher, you want to be able to log into all of those machines to see what they're doing.</t>
  </si>
  <si>
    <t>It's hard to supervise students' work when you use a lot of virtual machines.</t>
  </si>
  <si>
    <t>It's hard for them to see all the values, layers of source side, real shoes, deployment side. They have a tendency because the students write code clicky works done, right? And it's hard to teach them that no wanting code somewhere.</t>
  </si>
  <si>
    <t>It's mostly the preparation of the exercise that is demanding.
That's one of the challenge that I find in preparing proper courses, finding and implementing an application, creating some issues in it, some bugs in it.</t>
  </si>
  <si>
    <t>The preparation of the exercise is demanding.
It is laborious to prepare the exercise that the students will work.</t>
  </si>
  <si>
    <t>We show them Kubernetes, um, but they don't really have time to practice on Kubernetes.</t>
  </si>
  <si>
    <t>For us as educators, we need to find a way where we can make it interesting.
You can make the lectures more interactive, but to make the lecture attractive students have to willing to interact. Right. Which is very difficult to do.</t>
  </si>
  <si>
    <t>Make a DevOps course attractive to the students is challenging.
Make the lectures attractive is difficult.</t>
  </si>
  <si>
    <t>Make a DevOps course attractive to the students is challenging.</t>
  </si>
  <si>
    <t>12</t>
  </si>
  <si>
    <t>The biggest challenge is this, like, what goes in, you know? People do lots of things in the DevOps Pipeline these days, which doesn't necessarily go into a DevOps course, right?
I would say at the end of the fall, or maybe at the beginning of 2019, we started to plan this course. And for the longest time I was really questioning myself. Like, what do you teach in a DevOps course?
Now we're questioning ourselves. What else did we bring in? We may add some things about a bit of telemetry. So they have a bit of telemetry because they have lives, but we put some emphasis on it.</t>
  </si>
  <si>
    <t>There is no convention as to what are the main DevOps concepts that should be taught.
It's difficult to decide what will be taught in a DevOps course.
Hard to decide whether to teach telemetry or not.</t>
  </si>
  <si>
    <t>164, 170</t>
  </si>
  <si>
    <t>It's hard to make clear to students and make them understand the fact that technologies will change with time, but the fundamentals will remain.</t>
  </si>
  <si>
    <t xml:space="preserve">We try to use, um, like remote services to relieve the burden of setup saying that, okay, you're going to use Jenkins on the cloud. Then you're going to use, we have this partnership with IBM. So we're using to use the bluemix platform from, uh, IBM that was supporting this kind of thing, um, disaster, because in the end it was really complicated to debug what was happening because you don't have the access go on the what's happening.
I think that that's one of the course that costed me the most in terms of, uh, frustrating time I've spent, uh, debugging lab sessions, </t>
  </si>
  <si>
    <t>Using remote services is really complicated to debug because you don't have the access on the what's happening.
Debugging lab sessions are frustating.</t>
  </si>
  <si>
    <t>Debugging lab sessions are very difficult.</t>
  </si>
  <si>
    <t>He grade scale was half description, half justification, and that's helped a lot, but it's always, um, qualitative in this way. It's, it's, it's really difficult to be quantitative and to have this, uh, uh, grade scale that is by the, uh, by the point.</t>
  </si>
  <si>
    <t>Amazon sometimes has some agreements, which I think now that the Federal Institute is doing, that it makes this student accounts available that they could test it for a period.</t>
  </si>
  <si>
    <t>When you do not have resources in the structure you are linked to, as an institution, you have to delegate that the student really finds his ways.</t>
  </si>
  <si>
    <t>Set up scenarios that they can run on their computer.</t>
  </si>
  <si>
    <t>Sometimes give up certain things you would like to teach [...] to the detriment of the student not having the ability to perform.</t>
  </si>
  <si>
    <t>Solutions that the student can run on his computer. [...] adapt to something perhaps with less computational demand.</t>
  </si>
  <si>
    <t>This was somehow harmonized.</t>
  </si>
  <si>
    <t>You can't evaluate with proof; you have to assess with projects with some activity.</t>
  </si>
  <si>
    <t>With some practical activity.</t>
  </si>
  <si>
    <t>It will always be project-based.</t>
  </si>
  <si>
    <t>Being able to evaluate the actions has to be a script of practical actions that the student has to carry out, and you will evaluate while that student is doing that there.</t>
  </si>
  <si>
    <t>I think a potential candidate is GNS3.</t>
  </si>
  <si>
    <t>All the DevOps tooling behind it like [...] the ansible or terraform here, or any of those other flavors of automation and deployment and stuff like that you can use.</t>
  </si>
  <si>
    <t>392</t>
  </si>
  <si>
    <t>All the devops tooling behind it like [...] the ansible or terraform here, or any of those other flavors of automaters and deployment and stuff like that you can use.</t>
  </si>
  <si>
    <t>For me, the approach, from the point of view of the teaching method, would be based on projects and practical activities throughout the course.</t>
  </si>
  <si>
    <t>The practical discipline has a balance between concept and practice, with the practice being the most important.</t>
  </si>
  <si>
    <t>The concepts need to be objectively presented, but there is not much discussion about.</t>
  </si>
  <si>
    <t>The practice that should occupy eighty percent of the class there, at least.</t>
  </si>
  <si>
    <t>The strategy we used was to divide the workload in half, divide the workload in half [...] and occupy half of this workload with content that is more suited to the area of networks [...] And half of this with the one with content that has more aptitude for the programming area.</t>
  </si>
  <si>
    <t>I had to delegate this responsibility to the student.</t>
  </si>
  <si>
    <t>I like to base it on a textbook because I think a sequence is evident for the students, right? We can even choose some chapters, even making an essential part of this material [...] we research several things to set up our class. Still, having a backbone formed by literature I think it's always important.</t>
  </si>
  <si>
    <t>But as there isn't, we find different materials; we have several publications.</t>
  </si>
  <si>
    <t>I believe that for DevOps, you have this balance [...] if you go to a course, that the focus is more development [...] Taking students there to see the other side [...] See Ops and the guys over there from Ops when you can have the opportunity to see more of the Dev too.</t>
  </si>
  <si>
    <t>There are a [...] series of features to be developed, and [...] the student has been trained for this. But other aspects related more to putting the system into production, to be careful [...] after the procedure is operational, not focusing on factors related to the system's functionalities anymore, but directing to non-functional aspects, then the students they need to have a better sense of it.</t>
  </si>
  <si>
    <t>The microservices tool is one of the tools I have been using with them. A device, an environment in which we put the students' solutions there and they can see more of the Continuous Integration part there.</t>
  </si>
  <si>
    <t>These systems being made available and then with the creation of the DevOps tool from the IFRN cloud, the microservices system there, it was then possible for us to have this more practical view of the process as a whole. So, I have adopted it in all semesters, including, I have always asked students to work with this tool.</t>
  </si>
  <si>
    <t>The importance of actually having a discipline like this in the curriculum talking about these themes.</t>
  </si>
  <si>
    <t>We are going through a matrix reformulation process,[...] this part of the workload and this discipline, really, the usefulness and one of the defenses that were made, was precisely that the discipline existed in the course, precisely because at another time, these topics would not be considered. So that's why it's important to have a discipline like that in the curriculum talking about these themes.</t>
  </si>
  <si>
    <t>We can assess teamwork in students, like those who are collaborating, those who are more overloaded, those who are perhaps less overloaded, those who develop and deliver more features, those who do not collaborate with teamwork.</t>
  </si>
  <si>
    <t>We can monitor this part of the evaluation a lot due to their activity. So part of it is the cloud system tool that allows us to do this monitoring.</t>
  </si>
  <si>
    <t>Taking a test, simply evaluating him, is even a way of doing this, but in this more practical approach, I believe that the student is better prepared and we are able to evaluate, in fact, the most important aspects of his education [.. .] If he is really acquiring that knowledge, what we really wanted to convey in that particular topic, in that particular subject.</t>
  </si>
  <si>
    <t>With the addition of our Project of Software Development team of professor Sales, he has access, so, more within the tool, he already knows the most diverse aspects. It was already possible for us to solve several difficulties.</t>
  </si>
  <si>
    <t>Usually, they already arrive with the system, sometimes deployed in another environment, which is quite common for them to use this environment. Then we have to bring them in, asking them to use ours.</t>
  </si>
  <si>
    <t>In a course like ours, in development, having a discipline like this, I think it is important indeed.</t>
  </si>
  <si>
    <t>Suppose the course is a development course or one that involves the operation part. In that case, it is essential to have a discipline that centralizes this information, a domain, perhaps, later on, that gathers these concepts, already preparing the student more for the market.[...] a rather considerable workload to have this dynamic with the students.</t>
  </si>
  <si>
    <t>They use the system, and I always ask them to socialize. Now, of more remote education, we're doing that they associate what they did.  And when we are at this moment of socialization, the students can take advantage of the gain and knowledge that another team had in an aspect that, at times, they had not noticed.</t>
  </si>
  <si>
    <t>They choose to [...] put this system on the air for a customer to see, right? In this aspect, the client is the teachers themselves who are evaluating.</t>
  </si>
  <si>
    <t>Having this system already in the air, I also believe that it is another gain, why? Because as you advance in the themes, you can already put "look, this aspect here that we are working on, you will have already contemplated in the system through this, this and this".</t>
  </si>
  <si>
    <t>The aspects that we address about continuous integration, [...] use of the tools we use in the environment, on a day-to-day basis, facilitate development that speeds up delivery; this is one of the topics we have. In the discipline, I believe that these themes should be part of their curriculum; they should contact this theme there.</t>
  </si>
  <si>
    <t>So, I think it's more fruitful, didactically, pedagogically, teaching in this way, with the most practical approach.</t>
  </si>
  <si>
    <t>The same DevOps discipline now applies at the institution where I teach concerning classes focused on security and vulnerability management and courses focused on application development and construction.</t>
  </si>
  <si>
    <t>In DevOps [...], the security teams are much more in understanding what it represents from the point of view of vulnerability management and architecture, from the network concerning the cloud.</t>
  </si>
  <si>
    <t>Development classes [...] want to understand better the issue of DevOps related to continuous delivery processes or how it translates into practice and into delivery tools and models that streamline application building.</t>
  </si>
  <si>
    <t>The recommendation is to understand the learning context of the class.</t>
  </si>
  <si>
    <t>So, the recommendation is to abuse the use of online solutions, which facilitate this process, but at the same time, stop the journey [...] So, the recommendation is to abuse the use of online solutions, which facilitate this process, but at the same time, stop the journey.</t>
  </si>
  <si>
    <t>Having a unique mechanism and an initial step, the final step you want to reach within this test, makes it much easier when you teach, when you do, especially for examples.</t>
  </si>
  <si>
    <t>More important [...] is to understand that concepts such as observability, development culture, communication, sharing are core. They are the core of what is proposed in relation to DevOps.</t>
  </si>
  <si>
    <t>Present concepts that are well established in the community, such as axes, [...] in the DevOps process.</t>
  </si>
  <si>
    <t>Present [...] cases on how this translates, [...] eliminating the silos between operations and development.</t>
  </si>
  <si>
    <t>Always start with culture before moving on to teaching or tool-based demonstration.</t>
  </si>
  <si>
    <t>Build a cohesive [...] laboratory in a specific setting that can better demonstrate the concept being taught there.</t>
  </si>
  <si>
    <t>Most of these tools have free layers, in the case of Cloud providers. All three of the main ones have an education-oriented version, and that is very good. This for the teacher is a very great facilitator.</t>
  </si>
  <si>
    <t>Put the student in an efficient context; he can see in class a tool that he has probably seen someone using in the company or has heard of. This makes for much better immersion in class.</t>
  </si>
  <si>
    <t>We have adopted project-based assessment a lot [...] the assessment of this project puts a student in his context to test in practice or simulate, in practice, a little of what he saw during classes.</t>
  </si>
  <si>
    <t>Adapt the menu according to the student profile you have.</t>
  </si>
  <si>
    <t>In this menu, you will be able to create mutations in this menu because the DevOps concept is very open, right? It encompasses different areas between development, security, and operations.</t>
  </si>
  <si>
    <t>Teach DevOps [...] how it applies in practice.</t>
  </si>
  <si>
    <t>Identify the scenarios, Google's case. At Google, they have a solid concept of DevOps and the idea of the role of, for example, the SRE professional in terms of environment resilience within the DevOps framework.</t>
  </si>
  <si>
    <t>This curriculum, a part of it, do you understand? With about forty percent, about sixty percent fixed, which is culture, main historical characteristics of how it came about, what does culture represent, what it changes about development processes, security operations. The changeable part is the tools, where you will apply them or what matches you to the students within the classroom in the course syllabus.</t>
  </si>
  <si>
    <t>For a project management class [...], I often had to introduce [...] based on direct analogies or analogies with other scenarios he has already encountered in the product management part to understand what I was speaking.</t>
  </si>
  <si>
    <t>Always focus on culture, the tools are excellent, they attract a student, they create a practical scenario, but oh, DevOps implementation errors in practice are mainly caused by companies and professionals who do not interpret this as a culture.</t>
  </si>
  <si>
    <t>Explain how the methodology can be applied, with examples and even tools.</t>
  </si>
  <si>
    <t>I am not going to deliver a ready-made recipe. I am going to use different tools. diverse methodologies that are also tools for them to try to apply within their process.</t>
  </si>
  <si>
    <t>And DevOps a lot in seeing this; they have different backgrounds, have other life stories, experiences that marked them in different ways and knowing when to present a new tool, listen to what these people have.</t>
  </si>
  <si>
    <t>So, suppose someone had a more traumatic experience at such a stage of the delivery process. In that case, you know how to use it at the right time with them and impersonate with them, talk, look, as you told me in that part, a solution that might work for you, again, because there is no ready-made solution, it would be to apply this technology to try to mitigate or resolve it.</t>
  </si>
  <si>
    <t>I recommend [...] Moving all teaching to a cloud. [...] contact AWS. They have a student program, or Google, with Ali Baba, Azure, and IBM Cloud.</t>
  </si>
  <si>
    <t>Nor use VM virtual machines because the virtual machine demands hardware resources. And it's not always that you have availability to upload two virtual machines on the student's device.</t>
  </si>
  <si>
    <t>I am going to upload the environment here on AWS using Terraform. So, provision the students' machines with TerraForm, explain to the students what you are doing, at the right time, on schedule, but decouple the need for the infrastructure.</t>
  </si>
  <si>
    <t>To put your hand on something, at least once every, depends a lot [...] on the schedule, but every, I'll put it every eight hours is a very subjective metric, but if you give something practical every eight hours with examples for the student to interact, so you don't stay in a lecture for hours on end talking, it's essential to know how to divide and balance.</t>
  </si>
  <si>
    <t>He has up to twenty, twenty-five minutes, he has your attention. So, if you cannot break that, alternate the tone of voice you speak, interact with him. If you just talk, you quickly lose the student after twenty minutes.</t>
  </si>
  <si>
    <t>So, I think it's essential for you to break both the tone of voice, the didactics you're using, put examples, you'll explain something theoretical, like Lean, for example, does an exercise that simulates the Lean process, not in software, it can even be with software, it can be with blocks, use Trello, interact with the student because if you spend more than twenty minutes talking, anyway, any situation, even in a typical lecture, you lose the student, you lose the audience.</t>
  </si>
  <si>
    <t>Suppose it's a class that, specifically, we were given the needs and characteristics before, such as access limitations, limited software installation on the machine. In that case, I prepare the class, and we have the schedule as a whole, which is ready; it has a beginning, middle, and an end.</t>
  </si>
  <si>
    <t>If it's a case where I don't have access to almost anything, I need to go to a cloud to take a class with the student, even if it doesn't involve the course itself. I need to do everything remote.</t>
  </si>
  <si>
    <t>If it's a mixed class, we send students a document that shows them beforehand, right? What are the prerequisites for him to take the course, software, software versions, how to install, well documented.</t>
  </si>
  <si>
    <t>These are documents that we send in separate stages of the course [...]. We break the infrastructure documents to do the Kaisen process within Lean-to unify the documentation so that the student understands the difficulty he faced and the problem he faces daily.</t>
  </si>
  <si>
    <t>So we break the infrastructure documents on purpose to do the Kaisen process within Lean to unify the documentation so that the student understands the difficulty he faced and the difficulty he will face daily.</t>
  </si>
  <si>
    <t>I prefer to take it out during class to show the day-to-day blocks delivered in the end. However, the recommendation is to use the infrastructure blocks to feed your course, as didactics. Do you speak, look, remember the block we had? The dependency, the software is made in Java 8, and we tried to compile a machine that had Java 15. Do you see this problem? How do we solve it? We analyze, run some process analysis frameworks because we can use any language as a tool, but use it as an experience.</t>
  </si>
  <si>
    <t>From a didactic point of view, we leave one or two hours before each day; there is a specific infra team to answer any student's doubts.</t>
  </si>
  <si>
    <t>Realize how much you deviate because the student has a particular problem and loses his didactics a little. So, knowing how to limit it too, then work with the student, talk, look, and talk more calmly, because this situation is particular. There has to be a breakpoint because otherwise, you'll lose the other students.</t>
  </si>
  <si>
    <t>A task tracking tool. Then it can be Notion or Trello; I think it's essential.</t>
  </si>
  <si>
    <t>There must always be two tools, the stream that would be the zoom, Google Meet, any device that does that, Webex I don't know, it depends on the company.</t>
  </si>
  <si>
    <t>I prefer Notion even though I work for Trello's company; I prefer Notion for a reason. I can export it in Markdown and directly version all documentation. So, for each day of the course, all the commands that we run or the additional content, I list them, interact with them, and interact together.</t>
  </si>
  <si>
    <t>And a code repository, you can GitLab, Github, which you can share with students, this situation.</t>
  </si>
  <si>
    <t>We usually use Jenkins as an integration tool because it's open-source, it's everywhere, despite having other devices that do the job even better, but it's spread out, it's ancient.</t>
  </si>
  <si>
    <t>Notion or Trello [...], you need to have a two-way tool where you and the student interact. Not a Gist, for example, because the Gist, although you can only release it because the student needs to put their feedback there too. [...] There are some tasks that we set up there, a post mortem of the process that fails; I need a feedback tool that the student can also interact with.</t>
  </si>
  <si>
    <t>So, I usually recommend it to instructors; I recommend it to students when they share it with me. Decrease the FPF rate of screen sharing because that's a lock. Zoom uses what it can if you don't limit it. So, we restrict ten FPS, for example, so that I don't consume too much of my or the student's CPU because I sometimes have to correct the exercise on his side.</t>
  </si>
  <si>
    <t>You need to observe each student, and you have to listen a lot, too, what was the difficulty he had and where he arrived. So, we do a final assessment per student, but the perception we had of it. If he did well, if he had a lot of doubt, what was the point that generated the most doubt for him?</t>
  </si>
  <si>
    <t>They also assess the course at the end; we send you a link and recommend you do this, consider some topics to take the NPS; I think the NPS is the universal metric for assessment, I don't know if you put it under the puts under the radar, the Net Promoter Score, from zero to ten, where zero to zero to seven is Detractor, eight is passive, nine to ten is promoter based on a set of questions that you cannot induce the student.</t>
  </si>
  <si>
    <t>When people come in to do this, this, this feedback with the students, understand, the students also talk to a person who is not me, who on the last day, I leave, it is a recommendation I give, I leave the conference to leave the students at ease, talking to this person, they make a mistake during the training and the person got annoyed, and with you inside, they will be a little, a little afraid to expose, although it is also by email.</t>
  </si>
  <si>
    <t>If possible, record at least one training for an autoscopy at the end. See if you have any language addiction, if there were any process that didn't fit the way you imagined, that would work, because when you're talking and doing, sometimes, there's a detail that it shouldn't.</t>
  </si>
  <si>
    <t>Mixing, theoretical and practical [...] is essential.</t>
  </si>
  <si>
    <t>Teach the DevOps culture: respect the individualities of your team, not looking to blame anyone but for solutions.</t>
  </si>
  <si>
    <t>We need to talk about the theoretical part about Lean, which is the Toyota method, Kaisen is also very important, Agile which is significantly linked to the DevOps process.</t>
  </si>
  <si>
    <t>What is practical, from the menu, is to make an end-to-end software, [...] But, end-to-end, and the end, which is monitoring.</t>
  </si>
  <si>
    <t>The software [...] built with Jenkins.</t>
  </si>
  <si>
    <t>Software build [...] deliver this to a VM, somehow, in the best way you understand, which is possible in your suite [...] You can provide it with Docker.</t>
  </si>
  <si>
    <t>The software [...] a monitoring tool, in the end, for you to look at. [...] Look at a Grafana, for example, with Prometheus, which is free software, like that.</t>
  </si>
  <si>
    <t>Of the menu is to make an end-to-end software, to understand the software in its conception. We already deliver this to the student, ready. Because we're not going to create the software from scratch, because the code is already kind of polished, it's a code from a forum in Java, where we have some features that depend on the machine to do the build, so we're going to decouple.</t>
  </si>
  <si>
    <t>So, the first thing, uncouple the database connection that is versioned in the source code. You can still version the String os; although it's not the best practice, you don't have to comment out the code to change the environment because TomCat will read it from there. Versioning in a git, using a continuous integration like Jenkins, for example, and a constant deploy, a continuous delivery with, it can be with an Ansible, it can be with any tool you deliver or in a VM or the Cloud.</t>
  </si>
  <si>
    <t>We need to adapt to the environment and try, every twenty to thirty minutes, to interact with the student so that he does something to keep his attention [...] Always propose challenges.</t>
  </si>
  <si>
    <t>Make it very clear, pedagogically, that I think it involves an exemplary sound configuration so that the student can hear you well, always with the camera open, even if the student doesn't open it, because he can't, but let him see you, that he feels this approach as much as possible.</t>
  </si>
  <si>
    <t>Within the menu, try to avoid making the student dependent on that stack you are teaching. So, if you're going to explain Jenkins, take half an hour to explain the pipeline in another tool, so he can see that it's possible. So he doesn't come out with the recipe ready. As much as we don't deliver it, the student creates a recipe in his head, and it won't fit in all of his daily routines. Then it will generate frustration. So, make it clear, look, can you see what we're doing? We're doing it for that reason, at Jenkins. Today we are going to use Bitbucket, for example, which is how we do it. One, as an example, correct?</t>
  </si>
  <si>
    <t>If you are going to teach a software build class, for example, or unit testing, you need to assume that your class is in a certain place, let us say. You need to assume that your class is made up of developers, has a bit of knowledge and such, or you need to assume that your class does not have that much experience.</t>
  </si>
  <si>
    <t>I cannot see a discipline, a DevOps teaching that is not hands-on [...] That is not getting hands-on and making people at least exercise the tools.</t>
  </si>
  <si>
    <t>I ask the students to implement a straightforward system, which will serve the entire subject. In this minor system, we're going to have tested; there's going to be built, there's going to be continuous integration, there's going to be deployment, you know?</t>
  </si>
  <si>
    <t>The point is to try to exercise as many tools as possible to provide everyone [...] with a range of things to apply in your daily life when you see the need.</t>
  </si>
  <si>
    <t>Because you have to have the mentality that you will have to get materials from different sources, right? ... you'll have to resort to gray literature, right, which is this literature from the blog, the medium, the Nubank or Netflix blog, which are sensational articles, but that don't have that scientific rigor, peer review, and such. So, like, I think the DevOps teacher needs to understand that he's in this environment, right?</t>
  </si>
  <si>
    <t>This part of the system, which I ask them to do to follow the discipline, [...] I'm seriously thinking about the idea of ​​simply giving them a system.</t>
  </si>
  <si>
    <t>This part of the system, which I ask them to do to monitor the discipline [...] When you go to configure the tools and such, as you were the one who developed the system, it becomes easier, I believe for you to understand all the automation and such. However, at the same time, I see that the guys have much difficulty in doing it.</t>
  </si>
  <si>
    <t>If I make this system, I can pass it on to people in a much simpler way, right? How do they do things and such.</t>
  </si>
  <si>
    <t>They said: teacher, I can do it in such language, I can do it in such a platform, can I do it like this? [...] So, I am not going to say that there were, I do not know, six, seven, different environments, right? That there was, but let us put two or three, right, different ones. So, for us, professors, we are often not proficient in all of these, right? So, then the person will have to clarify a doubt, then you say: man, I don't know. So, you decided to do it there, you kind of jump up, like, you know? The most we can do is try to convey the concepts, right? And when the person has a very big doubt like that, you say, boy, try to explain to me how this technology is there that you are using see if I can at least translate the things that I know, that is it.</t>
  </si>
  <si>
    <t>Maybe it makes sense for you to provide the environment for the students, right? And this provision, you can use a docker related tool, which comes already, right?</t>
  </si>
  <si>
    <t>Material heterogeneity is the biggest challenge [...] you have to set up a class sewing the fonts. So, sometimes, for example, in my integration course, I have to give several concepts, right? For you to talk about continuous integration, you need to talk about version control. You need to talk about build. You need to talk about testing. There are several things that are part of continuous integration, right? So, git-flow is not in the book, you know? Branch, development models, that's not in the book.</t>
  </si>
  <si>
    <t>You need to talk about version control; you need to talk about build; you need to talk about testing; several things are part of continuous integration. So, git-flow is not in the book, you know? Branch, development models, that's not in the book. Then you start going to blogs and such, you know? Then, you will talk about software testing; if you were a software engineering book, this part of testing is extremely weak, so it is highly conceptual; there is nothing. Then you can get the articles.</t>
  </si>
  <si>
    <t>Something I do not do, right? I realize that I'm going to need to do it, but it is exactly eh documenting, right? Those fonts, in case you need to revisit because it is so easy, right? You open a blog and stuff, you close the tab, and it died like that. So, somehow you are always documenting where you got it, where you got it from. Keep these links, in case you have to, in case you need to revisit there in future versions of the course. I do not know.</t>
  </si>
  <si>
    <t>For this part of continuous integration, [...] When you talk about continuous integration, there are several tools you can use. So, you can use Jenkins; you can use Travis; you can use Circle CI, now Github Actions is here, you know?</t>
  </si>
  <si>
    <t>There is much technology on the market [...] you cannot cover everything, right? However, at the same time, just giving the concept, I do not think it is enough. So you have to make a choice. I will teach this here.</t>
  </si>
  <si>
    <t>Jenkins, let's put it this way, he, even though he's challenging because he's not the easiest thing in the world to set up. These pains, I also think it's essential for the guys [...] Jenkins you don't pay anything [...] These pains, I also believe it is necessary for the guys when you get something a CI that works in the cloud and such, notice, hey, look how easy.</t>
  </si>
  <si>
    <t>The recommendation would be that it would be to get tools that are minimally relevant, right? And so that you can present the different cost-benefits of each one.</t>
  </si>
  <si>
    <t>Jenkins, you do not pay anything, you install it on your server, and it has gone.</t>
  </si>
  <si>
    <t>I always pass some written evaluation of the basic concepts [...] I like the students to express in their own words what they understood [...] mainly from the cultural part.</t>
  </si>
  <si>
    <t>From a practical point of view, I simply pass on the exercise.</t>
  </si>
  <si>
    <t>DevOps [...] In the specialization course [...] you can break all this content into more extensive disciplines.</t>
  </si>
  <si>
    <t>So, there are some things that you cannot miss. All, if you see the cute little DevOps cycle figure there, right? All that part of compiling, testing, making, monitoring, and evaluating, I think all of this needs to be charged in some way; it has to come in somehow.</t>
  </si>
  <si>
    <t>During creation [...] Everything is already prepared, and the groups are always the same [...] it is the same booklet, the same content, the same teaching didactics, so there is no preparation for each class, you know? It was just an initial preparation.</t>
  </si>
  <si>
    <t>Training is limited [...] we will have to cut it, right? Focuses on tools, but which tools. So, this was a big challenge, so to think about which themes are essential, which means to teach, within each piece, right?</t>
  </si>
  <si>
    <t>Which tool to choose, which one had to see, which was more standard in the market, which was simpler, which is even easier to teach, and also how to fit it in, right?</t>
  </si>
  <si>
    <t>Of first showing the history, showing the motivation, showing the problem, and making some hooks with possible solutions that Devops was bringing, suitable?</t>
  </si>
  <si>
    <t>It needed to be some practical project [...] Not to be just in the theory part.</t>
  </si>
  <si>
    <t>So, we ended up choosing Java because it is the greatest strength; ours, that was Java.</t>
  </si>
  <si>
    <t>When it comes to teaching devops concepts, like, continuous integration, there will be a tool.</t>
  </si>
  <si>
    <t>The recommendation is to look at the market, search, see on Twitter, discussion groups, see what's hot on Google Trends. To know how to choose a tool that is more popular, right? That it is used more and that more people can enjoy the content there, right? Because they are tools they are already used to using.</t>
  </si>
  <si>
    <t>We don't evaluate, [...] but we keep observing, right, the students, and such throughout the training.</t>
  </si>
  <si>
    <t>The evaluation part [...] the recommendation would be to try to come up [...] some project or some challenge in the project itself that involves collaboration between people. Be able to divide the class there, the students into groups and each one will attack a problem and then everything has to come together, right? So, watch them.</t>
  </si>
  <si>
    <t>One important thing for me, which became apparent during my studies, is that I had to show the background, the motivation somehow, so I wanted to fit it in any way in the curriculum at the beginning, showing the history of software development [...] include these topics, like, more historical, which are not good, are not technical, right? But in a way that isn't too boring, you also [...] have to fit this with the technical part [...] With concepts of continuous integration, continuous delivery, continuous deployment, tools, automation, anyway.</t>
  </si>
  <si>
    <t>I had to show the history somehow... the history of software development, showing about the processes. Cascade, RUP, agile, talk a lot about agile, because it's related and fit these topics, so, more historical, not sound, not technical... And make a parallel, there, with the agile world with the problems that DevOps came to solve, right?</t>
  </si>
  <si>
    <t>To get Everything ready to avoid problems and lose the focus and essence of the group.</t>
  </si>
  <si>
    <t>You cannot teach DevOps only in theory. You have to experience it. You have to have practical experimentation for that.</t>
  </si>
  <si>
    <t>Build this entire journey based on practical, incremental activities or missions that are all correlated so that the lessons learned during these practical activities and revisiting the theory of knowledge can flow into a project that involves a set of decision-making, which also in addition to the subjects theoretically covered in the room.</t>
  </si>
  <si>
    <t>Working so hard on the theoretical aspects needed to understand why things in DevOps are in SRE as a whole [...] you have to have that.</t>
  </si>
  <si>
    <t>I think that proof would not be a nice deal, but it would be more or less certification from AWS, for example, from Azure, Google, and that is not the purpose. [...] Taking the test, written, open, I do not like it, I do not like the test model as an assessment, I do not think it is cool, I prefer to work with more practical things.</t>
  </si>
  <si>
    <t>So, in my activities, I always try to put a decision-making Delta that belongs to the team, right? To the students and who will obviously assess their understanding in all the semester's discussions. So, all decisions are valid, obviously, right?</t>
  </si>
  <si>
    <t>Everyone is already using Google or Amazon, with their Kubernetes environments available for you to use.</t>
  </si>
  <si>
    <t>Thus, DevOps and SRE are concepts that were born much more strongly in practice than in state of the art, that is, much more in the industry than necessarily in the university. So for you to deal with these concepts without making a real explanation, or bringing the main players about how they did it and why they did it, it is essential.</t>
  </si>
  <si>
    <t>Most of the references, the most interesting cases that I considered bringing to the room are posts on INFO2, on Metzone, Hacker News, Twitter posts, Airbnb case study, Glitch, Orbitz, and such; other cases of those that are much more interesting than necessarily, books or "scientific academic" articles.</t>
  </si>
  <si>
    <t>To bring the concept applied, then use a CDL approach, or PBL, that helps a lot, because then you have to present the problem and then show the idea behind the resolution of that problem.</t>
  </si>
  <si>
    <t>393</t>
  </si>
  <si>
    <t>Bringing the concept applied, then use an approach like CDL, or PBL, that helps a lot because then you have a way to present the problem and then show the concept behind the resolution of that problem.</t>
  </si>
  <si>
    <t>DevOps comes very close in these quirks of software architecture-like chairs. You can't just stick to the concepts. In theory, you have to show the realization of these things.</t>
  </si>
  <si>
    <t>I usually study the subject to understand and then see the best way to explain that subject.</t>
  </si>
  <si>
    <t>You propose the dynamics and have these things move the group because otherwise, it gets so dull.</t>
  </si>
  <si>
    <t>The recommendation is to see what the market is using, right? Moreover, trying to go with what is most used, like, it was no use messing with CRIO if everyone uses Docker.</t>
  </si>
  <si>
    <t>I try to bring this up: Mesos, Marathon, then Swarm, even to exercise the concepts is more accessible, lighter than Kubernetes, and then after Kubernetes, Rancher, for example.</t>
  </si>
  <si>
    <t>Some settings you can have for us to help, like, oh, you have the monitors team, for example, this allows you to go to a more excellent practical line because you'll have more arms to help you, evaluate and everything else.</t>
  </si>
  <si>
    <t>You propose a practical challenge to solve a problem. I think the students end up learning more.</t>
  </si>
  <si>
    <t>Because it is based on the assumption in all my disciplines that, right, knowledge is an open work, right? I'm not the holder of all knowledge [...] So they learn to curate what is relevant, necessary or not, is part of my teaching and learning processes.</t>
  </si>
  <si>
    <t>I already have mine that has my discipline ready, right? So the challenge, for those who will start one, is less.</t>
  </si>
  <si>
    <t>I already have mine that has my subject ready, right? So the challenge, for those who are going to start one, is less.</t>
  </si>
  <si>
    <t>There were times when I combined a set of free services to be used, Heroku. I combined some free services to run these things. I already had a partnership to use closed [...] there is Red Hat Academy, right, where you can use OpenShift and everything else in the context of the effort you want to make. So, this kind of thing helps a lot.</t>
  </si>
  <si>
    <t>PBL matches very well with, at least like this, how I see the DevOps signals or architecture, or MicroServices, which is another discipline I have; it's cool because you can start from the problem and show why people are using what are you using. So I think it matches perfectly.</t>
  </si>
  <si>
    <t>Today, I do not use only PBL. There is an inverted classroom, right? I think this translation is into Portuguese. I work with missions, right? So, the execution itself is Agile. We always have a post-mortem for each mission. At work, my methodology is a combination of a series of different good practices that come from my professional experience and part of what I learned, seeing that it worked and did not work while teaching.</t>
  </si>
  <si>
    <t xml:space="preserve">The only way to teach culture, the only way to experience culture is to immerse the students in the culture. [...] one of the examples I give to my students is I say, you know, I took three years of Spanish in high school and I don't speak a word of Spanish, but I bet if I spent a summer in Spain, I would come back speaking, fluent Spanish. So I tell them: "this class is your summer in Spain", right? We are going to live DevOps. We're going to experience DevOps. And that's the only way you can properly teach it. </t>
  </si>
  <si>
    <t>I break them up into nine teams of five students each.</t>
  </si>
  <si>
    <t xml:space="preserve"> I teach them about the git feature branch workflow.</t>
  </si>
  <si>
    <t xml:space="preserve"> I like to make them feel a little bit of pain before I give them the solution. So I will have them to run their test cases.</t>
  </si>
  <si>
    <t>I'll have them run their test cases manually. And then when someone makes a pull request, I'm like, well, you need to clone that, run the test case. [...] And then [.. ] I show them how to [...] automatically run the test cases. [...] And so they write all the test cases. And then, and then I, I teach them about code coverage. I said, it's not about the test passing. If the code coverage go down, then somebody code it without writing a test case, don't merge that pull-request, right? So I'm teaching this whole culture, right? This way of working. [...] Then finally we push it to the cloud. We set up CD pipelines to deploy things in the cloud.</t>
  </si>
  <si>
    <t>So I try to force them into these situations that really drive home the message of how to work as a DevOps team, how to work agile, but you've got to live it.</t>
  </si>
  <si>
    <t>Whenever they have a problem they can come to me. And I tell them, don't spend too much time Googling stuff. If you don't understand something, ask me if, if you don't understand what I presented, then I didn't present it in a way that you could connect with it. [...] Everybody learns differently.</t>
  </si>
  <si>
    <t>You have to learn by doing.</t>
  </si>
  <si>
    <t>My classes are about an hour lecture. And then the other hour and a half is lab it's hands-on, you know, I give them a concept, let's go do it. And by doing it, that's where it really sticks.</t>
  </si>
  <si>
    <t>Working as an agile team and using the DevOps tools, but most importantly, living the DevOps culture.</t>
  </si>
  <si>
    <t>So I don't care if you using windows or using Mac or whatever you're using. We're all going to learn a bunch of Linux and we're going to deploy all our stuff, using a bunch of it and use all the tools in a bunch of.</t>
  </si>
  <si>
    <t>The environment setup is key. What I would love to do is have an environment in the cloud. That's always consistent. That would kind of be the best.</t>
  </si>
  <si>
    <t>389</t>
  </si>
  <si>
    <t>They call my repo, Vagrant up and they're up and running. And so that's how I solve that problem. Bigger. It does a very good job of solving that consistent environments for students.</t>
  </si>
  <si>
    <t>We use selenium to, to work on the, uh, on the UI, as a browser.</t>
  </si>
  <si>
    <t xml:space="preserve"> I also try to use a set of tools that are popular in the industry.</t>
  </si>
  <si>
    <t>It is very critical to teach them tools that are relevant and tools that will help them get a job.</t>
  </si>
  <si>
    <t>I'm going to watch your Kanban board every week.</t>
  </si>
  <si>
    <t>You can't just grade what they submit. You have to watch how they're working.</t>
  </si>
  <si>
    <t xml:space="preserve">It's tough to get the students to be more social if you will, in their coding practices and do pair programming, uh, and follow the, get feature branch workflow. </t>
  </si>
  <si>
    <t>I actually last semester I prepared something on Sunday. And when I got Wednesday, when we had the class and I went to the cloud, the cloud had changed. [...] we're pushing to the IBM cloud the other night and it said there's an, there's a new update available for the tool. Uh, you know, version two, it may have breaking changes. And I said, timeout, nobody press, yes, everybody press no, because that's not the version I used on the weekend.</t>
  </si>
  <si>
    <t>Because of the remote learning  [...] I've been teaching my classes on zoom.</t>
  </si>
  <si>
    <t>So without having, uh, physically having a technical assistance in the class and I do have TA's on with my zoom and they do help students over slack, uh, to get things going.</t>
  </si>
  <si>
    <t>In that assessment, you know, that they're, um, there are 50 multiple choice questions in each exam, no partial credit. Um, and, and so, and I give, and it's an hour, uh, you know, to go do that exam. ...  we're remote now..</t>
  </si>
  <si>
    <t>The exams are open book, right? I, I, when I'm in the classroom, they're not open book, but for, for the remote learning, they have to be open book. I just can't enforce it.</t>
  </si>
  <si>
    <t>For the assessment, as I said, I give them a lot of leeway in the beginning. Um, they can make mistakes on their Kanban board and still get full credit if they know what the mistakes are that they made. However, in later sprints, if they make the same mistakes, then I start taking points off.  So I give them time to learn, uh, so that they feel that they can make a few mistakes, take a few risks, um, and not get penalized for it.</t>
  </si>
  <si>
    <t>We had cloud computing, where can easily stand up virtual machines for people and things like that.</t>
  </si>
  <si>
    <t>The recommendation is we just get them off their local machines and get them working off cloud servers or something like that. So that at least a, you can kind of script the stuff be if it gets messed up, there's no risk. You just tear it down and build a new one.</t>
  </si>
  <si>
    <t>209</t>
  </si>
  <si>
    <t>210</t>
  </si>
  <si>
    <t>211</t>
  </si>
  <si>
    <t>212</t>
  </si>
  <si>
    <t>213</t>
  </si>
  <si>
    <t>214</t>
  </si>
  <si>
    <t>I'm having conversations with the university about trying to take the devops course and essentially converting it to a three course sequence one for agile, one for kind of the dev part of devops and one for the ops part of devops.</t>
  </si>
  <si>
    <t>215</t>
  </si>
  <si>
    <t>216</t>
  </si>
  <si>
    <t>217</t>
  </si>
  <si>
    <t>218</t>
  </si>
  <si>
    <t>219</t>
  </si>
  <si>
    <t>I'm trying to tie the application of the devops principles and techniques and technologies, and to, and to link that together with agile approaches, for example.</t>
  </si>
  <si>
    <t>220</t>
  </si>
  <si>
    <t>221</t>
  </si>
  <si>
    <t>222</t>
  </si>
  <si>
    <t>I'm usually maybe a couple of weeks out verifying something for an upcoming, an upcoming session.</t>
  </si>
  <si>
    <t>223</t>
  </si>
  <si>
    <t>224</t>
  </si>
  <si>
    <t>225</t>
  </si>
  <si>
    <t>Some of this even goes down to git right, because a lot of people coming in know something about git a lot don't um, in many ways, my opinion, which I realize is, is probably not widely shared is that even if we were restricted from a software engineering department perspective, almost everything we're teaching should be retooled along devops lines, uh.</t>
  </si>
  <si>
    <t>226</t>
  </si>
  <si>
    <t>227</t>
  </si>
  <si>
    <t>I tend not to get quite as hyper-focused on right versus wrong answers. ... so treating it as, as more of an assessment of maybe architecture, if you will, or an assessment of approach, as opposed to this is right, this is wrong. Uh, I think that's been fairly well received.</t>
  </si>
  <si>
    <t>228</t>
  </si>
  <si>
    <t>For this course, I haven't done as much in terms of team projects, although I'm rolling that around to every, because everybody loves team projects.</t>
  </si>
  <si>
    <t>229</t>
  </si>
  <si>
    <t xml:space="preserve">The exams are really more the conceptual or philosophical elements stuff, where there is a little more of a, a cut and dry response, or at least I try to structure them that way. </t>
  </si>
  <si>
    <t>230</t>
  </si>
  <si>
    <t>231</t>
  </si>
  <si>
    <t>232</t>
  </si>
  <si>
    <t>233</t>
  </si>
  <si>
    <t>234</t>
  </si>
  <si>
    <t>235</t>
  </si>
  <si>
    <t>First year I did a lot of concept on the whiteboard, um, and then went to exercise for the students to practice. It's not efficient.</t>
  </si>
  <si>
    <t>236</t>
  </si>
  <si>
    <t>237</t>
  </si>
  <si>
    <t>The second recommendation is update your exercises often. ... you can get everything set up.</t>
  </si>
  <si>
    <t>238</t>
  </si>
  <si>
    <t>239</t>
  </si>
  <si>
    <t>So you have to have your stack ready, but you have to update it with the current version of the software that you intend the students to use fairly close to the beginning of the session, if you don't want to be surprised.</t>
  </si>
  <si>
    <t>240</t>
  </si>
  <si>
    <t>The thing I've done to try to avoid a little bit of the mess is I want to go gradual. I want to be gradual in the class. So first I teach compilation and testing. Then I teach continuous integration. team A is going to build one piece team B is going to build another piece that depends upon what team is built.</t>
  </si>
  <si>
    <t>241</t>
  </si>
  <si>
    <t>They need Jenkins. So either you tell them to go install Jenkins, or what I've done is I say, Hey, here's a Docker image for Jenkins.</t>
  </si>
  <si>
    <t>242</t>
  </si>
  <si>
    <t>243</t>
  </si>
  <si>
    <t>244</t>
  </si>
  <si>
    <t>What helps is to build something that is portable and something that can be broken down into several pieces where one student runs one bit and then another students runs the rest. It's also good because it forces them to work as a group.</t>
  </si>
  <si>
    <t>245</t>
  </si>
  <si>
    <t>In this year, if you do that, it's too early and it's going to be too hard for you as a teacher to, to know what's going on. So by forcing the technology stack and telling them.</t>
  </si>
  <si>
    <t>246</t>
  </si>
  <si>
    <t>We will also build a sample, which is on github. I'll send you the link. If you want. We build a sample that is called a cookie factory. Um, it's, it's a system to handle a cookie factory where you can order cookie pay for them, and you get a shopping cart with cookies, et cetera, right? So it's just a small sample.</t>
  </si>
  <si>
    <t>247</t>
  </si>
  <si>
    <t>But it's been billed according to the right guidelines that we want them to use. So they can borrow heavily from the sample. They can see sample testifies, sample integration test, sample Docker files, componentization, et cetera.</t>
  </si>
  <si>
    <t>248</t>
  </si>
  <si>
    <t>249</t>
  </si>
  <si>
    <t>But from a tools and technology, we force just on them to avoid too many variation between the groups.</t>
  </si>
  <si>
    <t>250</t>
  </si>
  <si>
    <t>I was saying at the beginning is that when you tell them that they're going to get their hands dirty and things that work one day will not work the other day, they start laughing. They don't take it seriously. Um, and then when they, when they building and they build a script to, I don't know, run some integration tests or to magically build Docker images and deploy them, it works on the machine on one guy of the group because they're working group, right? So they talk together. The one guy actually typing on the keyboard, he commits a script and they go, yes, we're done for the day. Let's go to some of the tasks, right? And then the next day somebody else was in the group wants to use it. And it doesn't work for them because they have a different environment because the script was assuming that the Docker was installed.</t>
  </si>
  <si>
    <t>251</t>
  </si>
  <si>
    <t>252</t>
  </si>
  <si>
    <t>253</t>
  </si>
  <si>
    <t>Go gradually. Um, so tha t,that was part of my strategy. The other thing is I've built a few, what I called a, um, whiteboard free session. So I go something like every week we have half a day, one hour of, uh, formal teaching. And then two hours exercise and we do that for like three weeks in a row. [...] So I do like three classrooms, one free session inspired by what they fail on and I continue.</t>
  </si>
  <si>
    <t>254</t>
  </si>
  <si>
    <t>We've done live presentation, where they have something that 20 minutes to describe the architecture, to describe their build strategy, that test strategy and demonstrate it on the screen. Um, and that is evaluated by a jury of one representative from the software architecture class and one representative from the DevOps class.</t>
  </si>
  <si>
    <t>255</t>
  </si>
  <si>
    <t>We also do two evaluations, one in the middle and one at the end. So the one in the middle, we call it MVP evaluation. And we tell them, at this point, you should have reached an MVP, which is basically a walking skeleton for your code. We don't care if when you call the API, the only code of the API is return true, or which are 12, but we care that you have the components in place. You can build them independently and they can talk to each other. Right? So at this, we validate that your componentization and your architecture is good even before you start building algorithms and the functional code. Um, so we do that and that's, again, that's to catch early, um, architecture mistakes.</t>
  </si>
  <si>
    <t>256</t>
  </si>
  <si>
    <t>We also have a lot of evaluation during the exercise. When group after group, where we, we give them flags if week green, yellow, or red, based on where we think they are, uh, regarding the objectives.</t>
  </si>
  <si>
    <t>257</t>
  </si>
  <si>
    <t>We help them manage stories, backlog. Uh, so it's more on the front of, we give you requirements.</t>
  </si>
  <si>
    <t>258</t>
  </si>
  <si>
    <t>We've introduced recently is a notion of digital branches and feature branches, for example, uh, linked to stories, but we try to just give them small individual tools.</t>
  </si>
  <si>
    <t>259</t>
  </si>
  <si>
    <t>260</t>
  </si>
  <si>
    <t>Wwe cannot make assumption on what they know. So we're trying to work without any assumption.</t>
  </si>
  <si>
    <t>261</t>
  </si>
  <si>
    <t>262</t>
  </si>
  <si>
    <t>We build Docker images.</t>
  </si>
  <si>
    <t>263</t>
  </si>
  <si>
    <t>264</t>
  </si>
  <si>
    <t>265</t>
  </si>
  <si>
    <t xml:space="preserve">  I spent a couple of discussing about the concepts discussing about the issues.</t>
  </si>
  <si>
    <t>266</t>
  </si>
  <si>
    <t>267</t>
  </si>
  <si>
    <t xml:space="preserve">What I do is that after introducing a concept and so on, I started really looking at very specific issues ... so in the lab we students learn, uh, in our, to be able to, for instance, to create a pipeline currency, DevOps pipeline, and, and, um, very, uh, set up A B tests, create test cases and do automated test, uh, test automation. </t>
  </si>
  <si>
    <t>268</t>
  </si>
  <si>
    <t>269</t>
  </si>
  <si>
    <t>270</t>
  </si>
  <si>
    <t xml:space="preserve">The students have to do in the projects is to start by coming up with the requirements of the obvious application, and then start setting up their own environment and provide some additional functionalities that we want to implement. </t>
  </si>
  <si>
    <t>271</t>
  </si>
  <si>
    <t>272</t>
  </si>
  <si>
    <t>Also making the project interesting is important because it, you can, it's very easy when you are teaching to just take a very small project, which is not very, uh, challenging in all with students.</t>
  </si>
  <si>
    <t>273</t>
  </si>
  <si>
    <t>For exam can be to use an open source application that we can use.</t>
  </si>
  <si>
    <t>274</t>
  </si>
  <si>
    <t>275</t>
  </si>
  <si>
    <t>276</t>
  </si>
  <si>
    <t>We use Selenium for test automation.</t>
  </si>
  <si>
    <t>277</t>
  </si>
  <si>
    <t>We use also SonarQube to help us on the automation.</t>
  </si>
  <si>
    <t>278</t>
  </si>
  <si>
    <t>For performance testing we use JMeter.</t>
  </si>
  <si>
    <t>279</t>
  </si>
  <si>
    <t>We also security platform like, uh, OWASP Zap.</t>
  </si>
  <si>
    <t>280</t>
  </si>
  <si>
    <t>281</t>
  </si>
  <si>
    <t>We use a very specific language. This is to just make it easy. I mean, sometimes we give it a bit too flexible. So right now we use a Java and Javascript because we are targeting web application. But, uh, when we students are implementing, uh, new features, so we give them the flexibility. We say, okay, parents, if you want to implement in Python, you can do it as long as you can wrap it in, uh, integrated in the new code.</t>
  </si>
  <si>
    <t>282</t>
  </si>
  <si>
    <t>283</t>
  </si>
  <si>
    <t>284</t>
  </si>
  <si>
    <t>So in the course I split, but so about 80% of presentation is just a regular, uh, concepts and so on and about 20% is about concrete applications.</t>
  </si>
  <si>
    <t>285</t>
  </si>
  <si>
    <t>286</t>
  </si>
  <si>
    <t>Most of the time to give a problem solving questions where I put a problem and say, okay, and push a student to critically think. ... , I put a problem and then we'll come up with the solutions for the problem. And I haven't been able to find a good way to do that with DevOps, in, uh, in terms of assessment.</t>
  </si>
  <si>
    <t>287</t>
  </si>
  <si>
    <t>288</t>
  </si>
  <si>
    <t>289</t>
  </si>
  <si>
    <t>290</t>
  </si>
  <si>
    <t>I wanted to go with open source technologies so I can explain later how we build the labs.</t>
  </si>
  <si>
    <t>291</t>
  </si>
  <si>
    <t>The students were still very satisfied with the course [...] we built on the labs of last summer, but may that kind of a case study kind of fixtures case study and the students pretty much like it.</t>
  </si>
  <si>
    <t>292</t>
  </si>
  <si>
    <t>293</t>
  </si>
  <si>
    <t>294</t>
  </si>
  <si>
    <t>You need to get the feedback, you don't get the feedback, right? So, and when we, when the students do the student evaluation, of course don't write much. So it's much easier if you can trigger this question.</t>
  </si>
  <si>
    <t>295</t>
  </si>
  <si>
    <t>296</t>
  </si>
  <si>
    <t>The unicorn [project book] who was just, just published last year is more about the Dev stuff, but it really brings it into the mindset of, of, okay, what are the issues concretely that we face.</t>
  </si>
  <si>
    <t>297</t>
  </si>
  <si>
    <t>298</t>
  </si>
  <si>
    <t xml:space="preserve"> I built kind of a fictitious company [...] based on my experience [...]  the students work in groups of three [...]  in the first lab, they have to set up their environment [...] We bring them also to, to build, uh, two small applications that actually extract, um, data from the Kanban, uh, in GitHub using the GitHub APIs, because I want the students to one that very important aspect of DevOps is the continuous improvement. So if you want, you have to apply the same principles to the process that you're applying to your product.</t>
  </si>
  <si>
    <t>299</t>
  </si>
  <si>
    <t xml:space="preserve"> So they have set up their environment.</t>
  </si>
  <si>
    <t>300</t>
  </si>
  <si>
    <t>301</t>
  </si>
  <si>
    <t>302</t>
  </si>
  <si>
    <t>The third lab, that's what we do since last winter. We didn't do it last summer, did deploy on, on, on AWS. So we have, we have built accounts on Amazon, so they can go all the way.</t>
  </si>
  <si>
    <t>303</t>
  </si>
  <si>
    <t>The global approach made sure the students not associated with devops with a CI/CD pipeline, because in my opinion, it's all about continuous improvement.</t>
  </si>
  <si>
    <t>304</t>
  </si>
  <si>
    <t>We have built a little simulator that is quite simple, but that's easy to traverse the whole, essentially the main phases of DevOps.</t>
  </si>
  <si>
    <t>305</t>
  </si>
  <si>
    <t>They need to do concrete things ... it's to be able to traverse the whole thing without necessarily going in depth about all of these things.</t>
  </si>
  <si>
    <t>306</t>
  </si>
  <si>
    <t>I need very solid, uh, research. It's a sorry, a lab assistance. The people responsible for the labs of course, assistants that that can actually deal with the students. So I'm lucky to have students and have good industrial experience, uh, to do that.</t>
  </si>
  <si>
    <t>307</t>
  </si>
  <si>
    <t>308</t>
  </si>
  <si>
    <t>So I chose, um, tuleap, which is an open source that was missing in mainly DevOps in France.</t>
  </si>
  <si>
    <t>309</t>
  </si>
  <si>
    <t>We try to make it minimal.</t>
  </si>
  <si>
    <t>310</t>
  </si>
  <si>
    <t xml:space="preserve">They have a real experience with respect to Amazon, it's pretty simple, and you can get a free Amazon, you just have to register. </t>
  </si>
  <si>
    <t>311</t>
  </si>
  <si>
    <t>They use GitHub. .. The only thing we really need is that the students give us, uh, access to their accounts.</t>
  </si>
  <si>
    <t>312</t>
  </si>
  <si>
    <t>We enforce the usage of, of the, of the Kanban, because it's an important practice in devops to make the work visible and stuff.</t>
  </si>
  <si>
    <t>313</t>
  </si>
  <si>
    <t>If you have lab assistants that are, you know, good, it's pretty easy to manage.</t>
  </si>
  <si>
    <t>314</t>
  </si>
  <si>
    <t>Initially we were relying the, uh, admin, uh, personnel in our department, not admin, sorry, the, the engineering, uh, the, yeah, the, the infrastructure, the people that are responsible for the labs and so on. And now, since all of the students have their laptop, we try to make it as industrial as possible in lightweight as possible. So we don't need any internal support. [...] You just need this use to create their, uh, GitHub accounts. And, uh, you have to register to be able to get some AWS, uh, credits so that you can share with the students, but it's quite, it's quite easy.</t>
  </si>
  <si>
    <t>315</t>
  </si>
  <si>
    <t>316</t>
  </si>
  <si>
    <t>From a tooling point of view, um, for the pipeline, we, we recommend Travis CI.</t>
  </si>
  <si>
    <t>317</t>
  </si>
  <si>
    <t>318</t>
  </si>
  <si>
    <t xml:space="preserve">We're building a couple of tutorials so that, you know, the ones that have less experience with certainly the testing can look at it. </t>
  </si>
  <si>
    <t>319</t>
  </si>
  <si>
    <t>But with respect to the technologies, I think that knowledge is, will change [...] I think like one of the, uh, not too good to give it giving advices or, but I can share my experience and my thoughts. Um, I think that that's important to remember one thing as important as what is the objectives of your course.</t>
  </si>
  <si>
    <t>320</t>
  </si>
  <si>
    <t>First define the objectives of your course and making sure you stick to it.</t>
  </si>
  <si>
    <t>321</t>
  </si>
  <si>
    <t>The lectures are more the, you know, sharing the experience and, and zooming in and some of the concepts.</t>
  </si>
  <si>
    <t>322</t>
  </si>
  <si>
    <t>Make the students realize that the Kanban has certain information for a certain purpose. Um, if I want to analyze my process, I may extract information from the Kanban that will tell me about, you know, the time that I spent in the development phase or in the, in the review phase and things like that.</t>
  </si>
  <si>
    <t>323</t>
  </si>
  <si>
    <t>The book I have quiz, uh, again, it could be translated and adjusted, but that's the way to, to test in the exams. ...  one part is exactly quiz questions. So they have multiple choices.</t>
  </si>
  <si>
    <t>324</t>
  </si>
  <si>
    <t>325</t>
  </si>
  <si>
    <t>We use one of the topics in DevOps that becomes quite important is value stream mapping. So to be able to capture your process is pretty simple in terms of modeling as a flow of activities, value stream mapping is a technique that has been used for quite a long time and in production.</t>
  </si>
  <si>
    <t>326</t>
  </si>
  <si>
    <t>It's not an analysis course, but I tried to bring it back regularly and say, okay, if you want to improve a process, whether you do so, it's one of the, one of the section in the book. And so it's okay. [...] you go from there to identify the, the points that could be improved, right. And then how do you want to improve it, then the techniques that are described in the book?</t>
  </si>
  <si>
    <t>327</t>
  </si>
  <si>
    <t>This mindset of thinking of continuous improvement is so important, right?  ... the improvement of the daily work is more important than the work itself.</t>
  </si>
  <si>
    <t>328</t>
  </si>
  <si>
    <t>What should I improve to make my process more efficient? So to me, this is the most important thing of DevOps. And, and, and then you do it through automation, automation of, of the deployment process, automation of, of, you know, the testing process automation later of the security, uh, thing and so on.</t>
  </si>
  <si>
    <t>329</t>
  </si>
  <si>
    <t>The lectures, um, for the first part it's okay. I think for, until the midterm to have just get essentially through the book.</t>
  </si>
  <si>
    <t>330</t>
  </si>
  <si>
    <t xml:space="preserve">In some topics, maybe it's introducing a bit more. So say that you're getting in the topic in the, in the lecture where, um, containers are, are relevant and then deployment is relevant. Then maybe the way is to discuss a bit more maybe than use Kubernetes and Docker, give concrete examples and stuff like that that supports the reading that they have done. </t>
  </si>
  <si>
    <t>331</t>
  </si>
  <si>
    <t>332</t>
  </si>
  <si>
    <t>The book has a lot of case study and examples like Facebook, Google, LinkedIn, uh, Netflix.</t>
  </si>
  <si>
    <t>333</t>
  </si>
  <si>
    <t>If I was asking you the question and say, give me the three benefits of this thought of this, uh, concept, then it's memorization. But if I give them five, if I give you five choices and they could be between zero and five, that are true statements with respect to this concept, it's not about memorization. It's about understanding.</t>
  </si>
  <si>
    <t>334</t>
  </si>
  <si>
    <t>If the exam is in presence, then I don't care that much if, if they do the control that before, because ultimately they have to understand, I think that these quizzes to me have a specific objective.</t>
  </si>
  <si>
    <t>335</t>
  </si>
  <si>
    <t>If you want to be able to experiment and, and to, to, to do the postmortem so that you can learn and you can solve issues and stuff.</t>
  </si>
  <si>
    <t>336</t>
  </si>
  <si>
    <t>337</t>
  </si>
  <si>
    <t>So people need to feel comfortable sharing, if they've made a mistake or not thinking that they're gonna have their headquarters. Right. Um, so when talking about that, if students have never worked in the context where, you know, people are blaming each other and stuff, it's difficult to understand I, to, to be concrete. And this is so crucial.</t>
  </si>
  <si>
    <t>338</t>
  </si>
  <si>
    <t>So that, I think it's one of our job to, to, to communicate with the student that it's not about the buzzword, this is something extremely serious.</t>
  </si>
  <si>
    <t>339</t>
  </si>
  <si>
    <t>This course has a very specific structure, which is not usual. Uh, the structure is that, uh, everything. Um, I think you have access to our GitHub repository and everything is, uh, available.</t>
  </si>
  <si>
    <t>340</t>
  </si>
  <si>
    <t>Students have to choose some topic and say, okay, we want to do a presentation on this topic. And that topic can be anything related to DevOps.</t>
  </si>
  <si>
    <t>341</t>
  </si>
  <si>
    <t>Then do, um, do some research about it, write an essay or, uh, or if there is, um, there is a tool available, uh, on GitHub it's, if it's open source, they can contribute to that, uh, to that tool and maybe fix some issues and report it to the teachers.</t>
  </si>
  <si>
    <t>342</t>
  </si>
  <si>
    <t>Everyone who wanted to present a tool or to do a demo or anything else they could give, uh, get some feedback from other students.</t>
  </si>
  <si>
    <t>343</t>
  </si>
  <si>
    <t>We can have people, uh, there, there are, uh, there are everywhere that we can invite and, uh, let the students know what is going on in practice, not just some, uh, theoretical, uh, problem.</t>
  </si>
  <si>
    <t>344</t>
  </si>
  <si>
    <t>We asked them to choose a tool, uh, on internet and new tool, and then use that tool and show other students how that works. So, uh, we didn't have some predefined, uh, projects.</t>
  </si>
  <si>
    <t>345</t>
  </si>
  <si>
    <t>346</t>
  </si>
  <si>
    <t xml:space="preserve">In fact, some of them, we asked them to, um, to, if they wanted to do a tutorial on a tool, we ask them to upload that tutorial on, uh, Katacoda. </t>
  </si>
  <si>
    <t>347</t>
  </si>
  <si>
    <t>348</t>
  </si>
  <si>
    <t xml:space="preserve">Just find whatever they want to find and work on whatever they want to work on and let them be free since that was our goal in this course, uh, we let them choose, um, novel technologies, the technologies and the tools that are being used, uh, today and the tools that are being developed today. </t>
  </si>
  <si>
    <t>349</t>
  </si>
  <si>
    <t>Many of them did was to engage in the, uh, in the development process of the, uh, of the large projects that other people are working on. And, uh, they could choose a project, I think with more than a hundred stars. ...  And they had to make sure that they pass all the, uh, all the steps and they had to do some contributions, but to there, to those for repositories. And, uh, and they had to also engage in a conversation with other people from other teams, uh, in the process that, uh, they were, uh, making those contributions.</t>
  </si>
  <si>
    <t>350</t>
  </si>
  <si>
    <t xml:space="preserve">And they had to also engage in a conversation with other people from other teams, uh, in the process that, uh, they were, uh, making those contributions.
</t>
  </si>
  <si>
    <t>351</t>
  </si>
  <si>
    <t>Other task that we ask them to do something for our own course, and, uh, then, uh, engage in a conversation with TAs and other students to make sure everything's more work well.</t>
  </si>
  <si>
    <t>352</t>
  </si>
  <si>
    <t>The lectures were not, uh, were not presented by the teachers. They were presented by the people who are, who were from the industry and invited to the, uh, to the course to present something for students.</t>
  </si>
  <si>
    <t>353</t>
  </si>
  <si>
    <t>We had to do as TAs and other things I think, uh, we, it's not, uh, only before the lecture, but during the whole, uh, time that this, uh, this course was, uh, going on, we had to check the, uh, check the github. And, um, students had, since they had to make some contributions, uh, we had to make sure that their contributions, uh, could pass all the checks that we had. [...] So we had to check that they were doing what they were supposed to do before the lectures, during the lectures and after it. So that was our, uh, our role in this course.</t>
  </si>
  <si>
    <t>354</t>
  </si>
  <si>
    <t xml:space="preserve">We had a long Google doc that the students during the lectures and after the lectures, students could add their questions there. And then we, the TAs could answer the questions, uh, in the doc. </t>
  </si>
  <si>
    <t>355</t>
  </si>
  <si>
    <t>356</t>
  </si>
  <si>
    <t>If it was up to me, I would put some time to laying the background. And I'm talking about basics of DevOps and basics of some tools that are mainly used by everyone.</t>
  </si>
  <si>
    <t>357</t>
  </si>
  <si>
    <t>358</t>
  </si>
  <si>
    <t>359</t>
  </si>
  <si>
    <t>Each week we had, uh, four hours of, uh, lectures and answering questions from students and, and, uh, making, making some points about the course more clear.</t>
  </si>
  <si>
    <t>360</t>
  </si>
  <si>
    <t>If we can have a students together working together and, um, working on the projects and developing projects together at the same time while the teachers are there and they, uh, we can, uh, see what they are doing, that would be better. And I think we will, uh, hopefully do this, uh, next year when grown-up situation gets better.</t>
  </si>
  <si>
    <t>361</t>
  </si>
  <si>
    <t>Everything in this course was, uh, was, uh, done through the GitHub repository, there are many issues, there are many pull requests and the discussions between TAs and the students and grading everything is there.</t>
  </si>
  <si>
    <t>362</t>
  </si>
  <si>
    <t>They could contribute to some open source projects that are large projects and they are being used. So it's something that I'm looking for. Something we had some stats, uh, on github.</t>
  </si>
  <si>
    <t>363</t>
  </si>
  <si>
    <t>There are many checks in this course, we had to make sure that the students had done this and that, and that these, uh, checks could be, uh, automatized by your students. And they had, they added some GitHub actions and to the repository.</t>
  </si>
  <si>
    <t>364</t>
  </si>
  <si>
    <t>365</t>
  </si>
  <si>
    <t>366</t>
  </si>
  <si>
    <t>I think the course we've built in France was successful because we've done it with a software architect from IBM or the guy who was building, um, like as part of his industrial practice, he was building huge, uh, systems.</t>
  </si>
  <si>
    <t>367</t>
  </si>
  <si>
    <t>You need to have people interacting with the students that are practitioners and that really, uh, well know their in a way.</t>
  </si>
  <si>
    <t>368</t>
  </si>
  <si>
    <t>369</t>
  </si>
  <si>
    <t>So it's constantly discussing and constantly sharing in an open way, uh, what's happening, how it's teach, uh, how it's story telling and how, how things are going.</t>
  </si>
  <si>
    <t>370</t>
  </si>
  <si>
    <t>371</t>
  </si>
  <si>
    <t>We decided to let the student choose and said, okay, you have your option and do what you want, but you're responsible of doing it.</t>
  </si>
  <si>
    <t>372</t>
  </si>
  <si>
    <t>I think maybe the, um, the using external cloud services would give you the better in terms of DevOps philosophy, let's say, because then you're really pushing and you bring stuff outside of the academy ecosystem.</t>
  </si>
  <si>
    <t>373</t>
  </si>
  <si>
    <t>We use the blueJ, uh, platform from, uh, IBM, that was really, everything was integrated and those kinds of things that was really good in a way.</t>
  </si>
  <si>
    <t>374</t>
  </si>
  <si>
    <t>Let's go for something that we have more control on, uh, using for tools like Jenkins and and a stuff like Docker or Kubernetes was kind of good in a way to, uh, support the deployment and the, uh, like the building plus deployment stuff.</t>
  </si>
  <si>
    <t>375</t>
  </si>
  <si>
    <t>376</t>
  </si>
  <si>
    <t>377</t>
  </si>
  <si>
    <t>378</t>
  </si>
  <si>
    <t>I want the code to go through a pipeline. It could be Jenkins. It could be github actions. It could be gitlab workflow. It could be GitHub action.</t>
  </si>
  <si>
    <t>379</t>
  </si>
  <si>
    <t>380</t>
  </si>
  <si>
    <t>381</t>
  </si>
  <si>
    <t>It was a graduate course, I started not to, uh, enforce given tools ... I want you to have a version control system that should be git, but git up, gitlab Bitbucket, Bitbucket on premises. ...  you can justify and defend each step of what's happening to your code in the context of devops.</t>
  </si>
  <si>
    <t>382</t>
  </si>
  <si>
    <t>To carefully select the, um, I, I have a lot of industrial, uh, practitioners, guest lectures. Uh, we, we, we had the one prof that wasn't industrial.</t>
  </si>
  <si>
    <t>383</t>
  </si>
  <si>
    <t>The bigger mistake I've made was to, uh, use a coach. Uh, and we invited him and the guy was, uh, setting himself running himself as a DevOps coach, but the guy just had written books and, uh, had no idea what he was talking about.</t>
  </si>
  <si>
    <t>384</t>
  </si>
  <si>
    <t>385</t>
  </si>
  <si>
    <t>We decided to go on a problem-based approach. So having like introductory lecture, giving the context, giving the leads to follow, then getting a problem based on, on, uh, like a long-term project for the whole semester.</t>
  </si>
  <si>
    <t>386</t>
  </si>
  <si>
    <t>What we've done was first to, um, continuously evaluate the teams are they were working on the project.</t>
  </si>
  <si>
    <t>387</t>
  </si>
  <si>
    <t>Like theoretical exam point of view, we use the case studies. ... you have three hours explain what you do in this situation. ...  we were really grading half of the description and half of the justification.</t>
  </si>
  <si>
    <t>388</t>
  </si>
  <si>
    <t>He grade scale was half description, half justification, and that's helped a lot, but it's always, um, qualitative in this way.</t>
  </si>
  <si>
    <t>390</t>
  </si>
  <si>
    <t>What we've done in this case was to let the TA grade the projects, um, because then it was way more simple. And as the two props, we were, uh, grading the exams and were like cross validating.</t>
  </si>
  <si>
    <t>391</t>
  </si>
  <si>
    <t>The course about, uh, software architecture and DevOps, or we're talking about a different way of architecting software, um, mainly distributed system, because it was easier for the DevOps parts who were triggered challenges was a distributed system.  ... And they had one, one lecture in the morning lecture slash lab and one lecture slash lab in the afternoon. And they were really like Friday was dedicated to DevOps slash uh, architecture.</t>
  </si>
  <si>
    <t xml:space="preserve">Amazon sometimes has some agreements, which I think now that the Federal Institute is doing, that it makes this student accounts available that they could test it for a period.
Most of these tools have free layers, in the case of Cloud providers. All three of the main ones have an education-oriented version, and that is very good. This for the teacher is a very great facilitator.
I recommend [...] Moving all teaching to a cloud. [...] contact AWS. They have a student program, or Google, with Ali Baba, Azure, and IBM Cloud.
There were times when I combined a set of free services to be used, Heroku. I combined some free services to run these things. I already had a partnership to use closed [...] there is Red Hat Academy, right, where you can use OpenShift and everything else in the context of the effort you want to make. So, this kind of thing helps a lot.
They have a real experience with respect to Amazon, it's pretty simple, and you can get a free Amazon, you just have to register. </t>
  </si>
  <si>
    <t>Cloud service companies such as AWS, through a contract with an educational institution, can provide the computing resource for the student's use.
All three main cloud providers have an education-oriented version.
Use student program cloud services like AWS, Google, Azure or IBM Cloud to eliminate hardware and network limitation for students.
Use private cloud services through academia-industry partnerships such as Red Hat Academy.
Amazon cloud provider has a free plan helpful to students.</t>
  </si>
  <si>
    <t>Use cloud provider services with students plans.</t>
  </si>
  <si>
    <t>03, 04, 07, 12</t>
  </si>
  <si>
    <t>050, 064, 155, 310</t>
  </si>
  <si>
    <t>Set up scenarios that they can run on their computer.
Sometimes give up certain things you would like to teach [...] to the detriment of the student not having the ability to perform.
Solutions that the student can run on his computer. [...] adapt to something perhaps with less computational demand.</t>
  </si>
  <si>
    <t>Build scenarios that students can run on their own computer.
Give up teaching content that the student cannot run on their machine.
Take advantage of the student's own computational resource and adapt to something that requires less computational demand.</t>
  </si>
  <si>
    <t>01, 01</t>
  </si>
  <si>
    <t>003, 004</t>
  </si>
  <si>
    <t>You can't evaluate with proof; you have to assess with projects with some activity.
With some practical activity.
Taking a test, simply evaluating him, is even a way of doing this, but in this more practical approach, I believe that the student is better prepared and we are able to evaluate, in fact, the most important aspects of his education [.. .] If he is really acquiring that knowledge, what we really wanted to convey in that particular topic, in that particular subject.
We have adopted project-based assessment a lot [...] the assessment of this project puts a student in his context to test in practice or simulate, in practice, a little of what he saw during classes.
From a practical point of view, I simply pass on the exercise.
I think that proof would not be a nice deal, but it would be more or less certification from AWS, for example, from Azure, Google, and that is not the purpose. [...] Taking the test, written, open, I do not like it, I do not like the test model as an assessment, I do not think it is cool, I prefer to work with more practical things.
You propose a practical challenge to solve a problem. I think the students end up learning more.</t>
  </si>
  <si>
    <t>You can't assess students' DevOps learning with a test, it's necessary to assess with projects, with some kind of hands-on activity.
DevOps teaching with practical activities.
Prefer practical assessments to written tests in order to verify student learning on the subject.
Prefer assessment based on practical projects.
Evaluate through practical exercises.
The assessment must be practical.
Evaluate through practical challenges.</t>
  </si>
  <si>
    <t>The assess should be with hands-on activity.</t>
  </si>
  <si>
    <t>01, 02, 03, 05, 07, 07</t>
  </si>
  <si>
    <t>007, 027, 052, 120, 139, 151</t>
  </si>
  <si>
    <t>For me, the approach, from the point of view of the teaching method, would be based on projects and practical activities throughout the course.
It will always be project-based.
Being able to evaluate the actions has to be a script of practical actions that the student has to carry out, and you will evaluate while that student is doing that there.
So, I think it's more fruitful, didactically, pedagogically, teaching in this way, with the most practical approach.
Development classes [...] want to understand better the issue of DevOps related to continuous delivery processes or how it translates into practice and into delivery tools and models that streamline application building.
Teach DevOps [...] how it applies in practice.
I cannot see a discipline, a DevOps teaching that is not hands-on [...] That is not getting hands-on and making people at least exercise the tools.
There is much technology on the market [...] you cannot cover everything, right? However, at the same time, just giving the concept, I do not think it is enough. So you have to make a choice. I will teach this here.
It needed to be some practical project [...] Not to be just in the theory part.
You cannot teach DevOps only in theory. You have to experience it. You have to have practical experimentation for that.
Build this entire journey based on practical, incremental activities or missions that are all correlated so that the lessons learned during these practical activities and revisiting the theory of knowledge can flow into a project that involves a set of decision-making, which also in addition to the subjects theoretically covered in the room.
I've tried to be very incremental. Um, first teach the value of tests, then write the script to build everything on your desk. You don't need any you're alone. ... Then break it down into several components and build them one by one, then put an Artifactory in the middle. So you have the dependency. ... So you can imagine that each people in the group is like a different team in the world.</t>
  </si>
  <si>
    <t>Incremental teaching method based on projects and practical activities.
DevOps teaching should be project-based.
Create script for practical devops activities.
Use a practical approach.
Teach continuous delivery in a more practical context for development classes, using tools and delivery models.
Teach devops in a practical way by applying it.
DevOps disciplines should use hands-on activities.
Teaching must be practical, not just theoretical.
Teaching needs a practical project, not just theoretical teaching.
Teaching devops should be practical, not just theoretical.
Build an incremental teaching journey based on activities and missions, always combining practical activities with theoretical knowledge.
Try to be very incremental. Everything on your desk first. Splits into several components. Build them one by one. Start working in group.</t>
  </si>
  <si>
    <t>Teaching method based on practical activities.</t>
  </si>
  <si>
    <t>01, 01, 02, 03, 03, 05, 05, 06, 07, 07, 10</t>
  </si>
  <si>
    <t>008, 009, 038, 041, 055, 102, 115, 127, 136, 137, 252</t>
  </si>
  <si>
    <t>The practice that should occupy eighty percent of the class there, at least.
The practical discipline has a balance between concept and practice, with the practice being the most important.
The concepts need to be objectively presented, but there is not much discussion about.
My classes are about an hour lecture. And then the other hour and a half is lab it's hands-on, you know, I give them a concept, let's go do it. And by doing it, that's where it really sticks.
First year I did a lot of concept on the whiteboard, um, and then went to exercise for the students to practice. It's not efficient.
That's why we build a class where we have a ratio of about one hour of classroom concept teaching on the whiteboard or something at three hours where they actually type on the keyboard of practical session. I think that's important. Otherwise they don't see it. 
So all of us, we covered a bit in really in the course, but also the, I mean, the lectures, but also they practice that in the lab.</t>
  </si>
  <si>
    <t>The practical part must occupy at least 80% of the class.
Balance the presentation of the concepts and the practicals.
Do not delve so deeply into discussions about the theoretical part of devops.
Teach each DevOps concept using one hour lecture followed by one hour and a half lab hands-on.
Is not efficient to have more theoretical part than practice part during the course.
One hour of classrom concept teaching and three hours of practical session.
Make use of labs and lectures.</t>
  </si>
  <si>
    <t>Focus more on the practical part compared to the theoretical part of DevOps.</t>
  </si>
  <si>
    <t>01, 01, 08, 10, 10, 11</t>
  </si>
  <si>
    <t>013, 014, 175, 235, 251, 266</t>
  </si>
  <si>
    <t>The strategy we used was to divide the workload in half, divide the workload in half [...] and occupy half of this workload with content that is more suited to the area of networks [...] And half of this with the one with content that has more aptitude for the programming area.
I believe that for DevOps, you have this balance [...] if you go to a course, that the focus is more development [...] Taking students there to see the other side [...] See Ops and the guys over there from Ops when you can have the opportunity to see more of the Dev too.</t>
  </si>
  <si>
    <t>Divide the workload of subjects that are related to networking and programming.
Seeking balance in teaching development and operation.</t>
  </si>
  <si>
    <t>I had to delegate this responsibility to the student.
When you do not have resources in the structure you are linked to, as an institution, you have to delegate that the student really finds his ways.</t>
  </si>
  <si>
    <t>Delegating the responsibility for finding adequate infrastructure for the student when it is not possible to obtain the necessary resources from the institution.
Delegate responsibility to the student.</t>
  </si>
  <si>
    <t>Delegate the responsibility for finding adequate infrastructure for the student.</t>
  </si>
  <si>
    <t>I like to base it on a textbook because I think a sequence is evident for the students, right? We can even choose some chapters, even making an essential part of this material [...] we research several things to set up our class. Still, having a backbone formed by literature I think it's always important.
 I was looking for books to use. And, um, you know, I started to look at the books from Jane Kim. Um, and essentially I found this DevOps handbook, which has really not written as a textbook, but it's, it covers it's, it's built around the three ways of DevOps. So the first way is the notion of flow. The second way is the notion of, um, feedback. And the third way is continual learning and experimentation.
So this book [DevOps Handbook] is very well done in this sense [...] it goes to the foundations of devops and gets to the different key ideas, right?
The lectures, um, for the first part it's okay. I think for, until the midterm to have just get essentially through the book.
The book has a lot of case study and examples like Facebook, Google, LinkedIn, uh, Netflix.</t>
  </si>
  <si>
    <t>Using a textbook as a basis and to give students a better idea of the sequence of the course contents.
Take Gene Kim's book DevOps Handbook as a reference to prepare a DevOps class.
Devops Handbook goes to the foundations of DevOps and gets to the different key ideas.
Use DevOps Handbook to create the lectures.
Find books like DevOps Handbook that have industrial case studies about Facebook, Google, etc.</t>
  </si>
  <si>
    <t>Use a textbook as a basis to guide the course classes.</t>
  </si>
  <si>
    <t>12, 12, 12, 12</t>
  </si>
  <si>
    <t>289, 295, 329, 332</t>
  </si>
  <si>
    <t>The microservices tool is one of the tools I have been using with them. A device, an environment in which we put the students' solutions there and they can see more of the Continuous Integration part there.
These systems being made available and then with the creation of the DevOps tool from the IFRN cloud, the microservices system there, it was then possible for us to have this more practical view of the process as a whole. So, I have adopted it in all semesters, including, I have always asked students to work with this tool.
Having this system already in the air, I also believe that it is another gain, why? Because as you advance in the themes, you can already put "look, this aspect here that we are working on, you will have already contemplated in the system through this, this and this".
When it comes to teaching devops concepts, like, continuous integration, there will be a tool.</t>
  </si>
  <si>
    <t>Use of a learning tool to facilitate understanding of the concept of Continuous Integration.
Using a learning tool helps in DevOps teaching.
Using a learning tool helps in DevOps teaching.
Use tools while explaining the continuous integration concept.</t>
  </si>
  <si>
    <t>Use a learning tool to easy the DevOps teaching.</t>
  </si>
  <si>
    <t>02, 02, 06</t>
  </si>
  <si>
    <t>022, 033, 129</t>
  </si>
  <si>
    <t xml:space="preserve">The importance of actually having a discipline like this in the curriculum talking about these themes.
We are going through a matrix reformulation process,[...] this part of the workload and this discipline, really, the usefulness and one of the defenses that were made, was precisely that the discipline existed in the course, precisely because at another time, these topics would not be considered. So that's why it's important to have a discipline like that in the curriculum talking about these themes.
In a course like ours, in development, having a discipline like this, I think it is important indeed.
</t>
  </si>
  <si>
    <t>DevOps deserves a discipline in the curriculum.
Be concerned with the course's curriculum, maintaining and creating DevOps disciplines.
DevOps deserves a discipline in the curriculum of courses focused on software development.</t>
  </si>
  <si>
    <t>02, 02</t>
  </si>
  <si>
    <t>024, 029</t>
  </si>
  <si>
    <t>We can assess teamwork in students, like those who are collaborating, those who are more overloaded, those who are perhaps less overloaded, those who develop and deliver more features, those who do not cooperate with teamwork.
The evaluation part [...] the recommendation would be to try to come up [...] some project or some challenge in the project itself that involves collaboration between people. Be able to divide the class there, the students into groups and each one will attack a problem and then everything has to come together, right? So, watch them.</t>
  </si>
  <si>
    <t>Evaluate level of participation and difficulty of students in teamwork.
Assess students through project and group exercises, more specifically the collaboration of each one within the group.</t>
  </si>
  <si>
    <t xml:space="preserve">They use the system, and I always ask them to socialize. Now, of more remote education, we're doing that they associate what they did.  And when we are at this moment of socialization, the students can take advantage of the gain and knowledge that another team had in an aspect that, at times, they had not noticed.
 I teach them about social coding.
It's tough to get the students to be more social if you will, in their coding practices and do pair programming, uh, and follow the, get feature branch workflow. </t>
  </si>
  <si>
    <t xml:space="preserve">Socializing knowledge acquired in practical activities is essential for learning.
Teach social coding.
Get the students to be more social in their coding practices and do pair programming </t>
  </si>
  <si>
    <t>08, 08</t>
  </si>
  <si>
    <t>160, 192</t>
  </si>
  <si>
    <t>[...] With the addition of our Project of Software Development team of professor Sales, he has access, so, more within the tool, he already knows the most diverse aspects. It was already possible for us to solve several difficulties.[...]</t>
  </si>
  <si>
    <t>The recommendation is to understand the learning context of the class.
Adapt the menu according to the student profile you have.</t>
  </si>
  <si>
    <t>Identify the most compatible DevOps scope for each class.
Adapt the course according to the profile of students.</t>
  </si>
  <si>
    <t>Having a unique mechanism and an initial step, the final step you want to reach within this test, makes it much easier when you teach, when you do, especially for examples.
Explain how the methodology can be applied, with examples and even tools.
I am not going to deliver a ready-made recipe. I am going to use different tools. diverse methodologies that are also tools for them to try to apply within their process.
The lab is like in the lab, because it's a very practical ...   we've implemented an application, uh, a web application, which, uh, in, currently we are using the application we use is a banking application. It is the online banking where people can go in and create an account or transfer between accounts and do all those kind of thing.
In some topics, maybe it's introducing a bit more. So say that you're getting in the topic in the, in the lecture where, um, containers are, are relevant and then deployment is relevant. Then maybe the way is to discuss a bit more maybe than use Kubernetes and Docker, give concrete examples and stuff like that that supports the reading that they have done.</t>
  </si>
  <si>
    <t>Make an example to the student in a practical context from the initial stage to the final step.
During the explanation of how to apply devops methodology, make use of example including tools.
Use different tools and methodologies.
Provide sample application in the labs.
Show concrete examples when you are presenting some tool like Kubernetes and Docker.</t>
  </si>
  <si>
    <t>Teach using examples.</t>
  </si>
  <si>
    <t>04, 04, 11, 12</t>
  </si>
  <si>
    <t>060, 061, 268, 330</t>
  </si>
  <si>
    <t>Present concepts that are well established in the community, such as axes, [...] in the DevOps process.
I simply want them to be able to set up some kind of a pipeline and understand how it works.</t>
  </si>
  <si>
    <t>Introduce well-established concepts by the DevOps community, such as the DevOps pipeline process.
Teach how to set up a pipeline and explain how it works.</t>
  </si>
  <si>
    <t>Present the use case of devops, for example, the elimination of silos among the development team.
Identify the market use cases of devops such as the Google case and the relationship between DevOps and the SRE professional to illustrate the importance of DevOps concepts.
Try to use case study together labs.
Use lectures to show case studies and emphasize in some of the DevOps concepts.</t>
  </si>
  <si>
    <t>Show use cases of DevOps.</t>
  </si>
  <si>
    <t>03,12,12</t>
  </si>
  <si>
    <t>056,291,321</t>
  </si>
  <si>
    <t>Build a cohesive [...] laboratory in a specific setting that can better demonstrate the concept being taught there.
So, the recommendation is to abuse the use of online solutions, which facilitate this process, but at the same time, stop the journey [...] So, the recommendation is to abuse the use of online solutions, which facilitate this process, but at the same time, stop the journey.</t>
  </si>
  <si>
    <t>Delimit a specific set of tools to build a scenario in order to demonstrate a concept to be taught.
Standardize the use of tools in a well-defined setting.</t>
  </si>
  <si>
    <t>Delimit a specific set of tools to build a scenario.</t>
  </si>
  <si>
    <t>If it's a case where I don't have access to almost anything, I need to go to a cloud to take a class with the student, even if it doesn't involve the course itself. I need to do everything remote.
Everyone is already using Google or Amazon, with their Kubernetes environments available for you to use.
The environment setup is key. What I would love to do is have an environment in the cloud. That's always consistent. That would kind of be the best.
The recommendation is we just get them off their local machines and get them working off cloud servers or something like that. So that at least a, you can kind of script the stuff be if it gets messed up, there's no risk. You just tear it down and build a new one.
The third lab, that's what we do since last winter. We didn't do it last summer, did deploy on, on, on AWS. So we have, we have built accounts on Amazon, so they can go all the way.
I think maybe the, um, the using external cloud services would give you the better in terms of DevOps philosophy, let's say, because then you're really pushing and you bring stuff outside of the academy ecosystem.</t>
  </si>
  <si>
    <t>For a scenario with limited resources, it is recommended to make use of public cloud services.
Use available cloud services (AWS, Google) with Kubernetes.
Do environment setup in the cloud is the best option because they are always consistent.
Get students off their local machines and get them working off cloud servers.
Make the students experiment how to use a cloud provider like AWS.
Using external cloud services would give you the better in terms of DevOps philosophy, because then you're really pushing and you bring stuff outside of the academy ecosystem.</t>
  </si>
  <si>
    <t>Use cloud provider services.</t>
  </si>
  <si>
    <t>07, 08, 09, 12, 14</t>
  </si>
  <si>
    <t>141, 182, 205, 302, 372</t>
  </si>
  <si>
    <t>Put the student in an efficient context; he can see in class a tool that he has probably seen someone using in the company or has heard of. This makes for much better immersion in class.
So, suppose someone had a more traumatic experience at such a stage of the delivery process. In that case, you know how to use it at the right time with them and impersonate with them, talk, look, as you told me in that part, a solution that might work for you, again, because there is no ready-made solution, it would be to apply this technology to try to mitigate or resolve it.
I prefer to take it out during class to show the day-to-day blocks delivered in the end. However, the recommendation is to use the infrastructure blocks to feed your course, as didactics. Do you speak, look, remember the block we had? The dependency, the software is made in Java 8, and we tried to compile a machine that had Java 15. Do you see this problem? How do we solve it? We analyze, run some process analysis frameworks because we can use any language as a tool, but use it as an experience.
  I spent a couple of discussing about the concepts discussing about the issues.</t>
  </si>
  <si>
    <t>Search for references from practical contexts experienced by students to easy the understanding, using popular tools.
During the explanations, make use of the difficulties, opinions and experiences faced by the students, pointing out solutions using Devops.
Use the difficulties with infrastructure in favor of learning, conducting discussions among students.
Promotes discussions about DevOps concepts and related issues.</t>
  </si>
  <si>
    <t>04, 04, 11</t>
  </si>
  <si>
    <t>063, 075, 265</t>
  </si>
  <si>
    <t>This menu will have some possibilities to create mutations in this menu because the DevOps concept is very open; right, it encompasses different areas between development, security, and operations.</t>
  </si>
  <si>
    <t>A recomendação idDuplicado 15 ["Não se aprofundar tanto em discussões sobre parte teórica de devops. A parte prática deve ocupar pelo menos 80% da aula."] é similar porém existe uma divergencia quanto a distribuição entre prática e teoria</t>
  </si>
  <si>
    <t xml:space="preserve">Always focus on culture, the tools are excellent, they attract a student, they create a practical scenario, but oh, DevOps implementation errors in practice are mainly caused by companies and professionals who do not interpret this as a culture.
More important [...] is to understand that concepts such as observability, development culture, communication, sharing are core. They are the core of what is proposed in relation to DevOps.
Teach the DevOps culture: respect the individualities of your team, not looking to blame anyone but for solutions.
The only way to teach culture, the only way to experience culture is to immerse the students in the culture. [...] one of the examples I give to my students is I say, you know, I took three years of Spanish in high school and I don't speak a word of Spanish, but I bet if I spent a summer in Spain, I would come back speaking, fluent Spanish. So I tell them: "this class is your summer in Spain", right? We are going to live DevOps. We're going to experience DevOps. And that's the only way you can properly teach it.
Working as an agile team and using the DevOps tools, but most importantly, living the DevOps culture.
Like, what do you teach in a DevOps course? Like, do you teach just technologies like Kubernetes and Docker? And, and I kept saying, no, this is not why I went back to university. I don't want to be just teaching techniques and tools because these will change over time.
</t>
  </si>
  <si>
    <t>Emphasize the importance of the DevOps culture and propagate it.
It is important to teach concepts such as observability and other cultural aspects such as sharing and communication.
Teach the DevOps culture: respect the individualities of your team, not looking for blame, but for solutions.
Live DevOps and its culture is the best way to learn it.
Living DevOps culture is more important than just learning DevOps tools.
Don't teach a DevOps course only focusing on tools and technologies because it changes over time.</t>
  </si>
  <si>
    <t>Teach the DevOps mindset.</t>
  </si>
  <si>
    <t>03, 04, 08, 08, 12</t>
  </si>
  <si>
    <t>045, 090, 158, 178, 288</t>
  </si>
  <si>
    <t>And DevOps a lot in seeing this; they have different backgrounds, have other life stories, experiences that marked them in different ways and knowing when to present a new tool, listen to what these people have.
So I let them know that if you asked me the same question a second time, I promise I won't answer it the same way. I'll try to find some different way to make that connection with you. Right? So that you understand it, given the background that you have. Given the skills that you have. Uh, so again, I try to immerse them in this culture.</t>
  </si>
  <si>
    <t>We seek a communication between students and teachers, where attention is paid to the students' opinions.
Teaching customized based on students background.</t>
  </si>
  <si>
    <t>Customize the teaching based on students background.</t>
  </si>
  <si>
    <t>1</t>
  </si>
  <si>
    <t>All the devops tooling behind it like [...] the ansible or terraform here, or any of those other flavors of automaters and deployment and stuff like that you can use.
I am going to upload the environment here on AWS using Terraform. So, provision the students' machines with TerraForm, explain to the students what you are doing, at the right time, on schedule, but decouple the need for the infrastructure.</t>
  </si>
  <si>
    <t>Terraform as a deployment automation tool can be used in teaching devops.
Use Terraform as a provisioning tool (Infrastructure as Code).</t>
  </si>
  <si>
    <t>Terraform as a deployment provisioning tool can be used in teaching devops.</t>
  </si>
  <si>
    <t>The recommendation 11 from interview 1 ["Ansible, terraform ou ferramentas de automatização de deployment podem ser usadas no ensino de devops."] is similar but these recommendation focused only in Terraform</t>
  </si>
  <si>
    <t>To put your hand on something, at least once every, depends a lot [...] on the schedule, but every, I'll put it every eight hours is a very subjective metric, but if you give something practical every eight hours with examples for the student to interact, so you don't stay in a lecture for hours on end talking, it's essential to know how to divide and balance.
He has up to twenty, twenty-five minutes, he has your attention. So, if you cannot break that, alternate the tone of voice you speak, interact with him. If you just talk, you quickly lose the student after twenty minutes.
We need to adapt to the environment and try, every twenty to thirty minutes, to interact with the student so that he does something to keep his attention [...] Always propose challenges.</t>
  </si>
  <si>
    <t>Use practical examples regularly for the student to interact.
Interact with the student and break the tone of voice every 20 minutes, inhibiting their loss of attention.
Interact with the student to keep him alert, proposing challenges, for example.</t>
  </si>
  <si>
    <t>Interact with the students.</t>
  </si>
  <si>
    <t>04,04</t>
  </si>
  <si>
    <t>068, 098</t>
  </si>
  <si>
    <t>Suppose it's a class that, specifically, we were given the needs and characteristics before, such as access limitations, limited software installation on the machine. In that case, I prepare the class, and we have the schedule as a whole, which is ready; it has a beginning, middle, and an end.
If you are going to teach a software build class, for example, or unit testing, you need to assume that your class is in a certain place, let us say. You need to assume that your class is made up of developers, has a bit of knowledge and such, or you need to assume that your class does not have that much experience.</t>
  </si>
  <si>
    <t>Seek to know in advance the needs and limitations of the class, such as installing software, for example, to create a more efficient schedule.
Identify the students' initial level of knowledge to do the course. For example, check if students can run unit tests that will be used in the software build class.</t>
  </si>
  <si>
    <t>Seek to know in advance the needs and limitations of the class.</t>
  </si>
  <si>
    <t>These are documents that we send in separate stages of the course [...]. We break the infrastructure documents to do the Kaisen process within Lean-to unify the documentation so that the student understands the difficulty he faced and the problem he faces daily.
But it's been billed according to the right guidelines that we want them to use. So they can borrow heavily from the sample. They can see sample testifies, sample integration test, sample Docker files, componentization, et cetera.
We're building a couple of tutorials so that, you know, the ones that have less experience with certainly the testing can look at it.</t>
  </si>
  <si>
    <t>Create student support examples and guidelines, breaks into parts to go through the steps gradually.
Create examples and guidelines to help students develop their solution based on it.
We're building a couple of tutorials so that the ones that have less experience can look at it.</t>
  </si>
  <si>
    <t>Create tutorials to help students.</t>
  </si>
  <si>
    <t>10, 12</t>
  </si>
  <si>
    <t>247, 318</t>
  </si>
  <si>
    <t>So we break the infrastructure documents to do the Kaisen process within Lean-to unify the documentation so that the student understands the difficulty he faced and the difficulty he will meet daily.
So we employ someone in our team, a couple of people who work on implementing that, and we created some issues in the application, like some bugs.</t>
  </si>
  <si>
    <t>Simulate real problems that the student will likely face in their daily lives.
Try to simulate a real scenario employing someone in the group to insert issues and bugs in students project.</t>
  </si>
  <si>
    <t>Simulate real problems with the students.</t>
  </si>
  <si>
    <t>There must always be two tools, the stream that would be the zoom, Google Meet, any device that does that, Webex I don't know, it depends on the company.
Because of the remote learning  [...] I've been teaching my classes on zoom.</t>
  </si>
  <si>
    <t>Use a streaming tool like Zoom, Google Meet, or Webex in remote learning scenario.
Use Zoom in remote learning scenario.</t>
  </si>
  <si>
    <t>Use streaming tool like Zoom in remote learning scenario.</t>
  </si>
  <si>
    <t>And a code repository, you can GitLab, Github, which you can share with students, this situation.
They use GitHub. .. The only thing we really need is that the students give us, uh, access to their accounts.
This course has a very specific structure, which is not usual. Uh, the structure is that, uh, everything. Um, I think you have access to our GitHub repository and everything is, uh, available.
Everything in this course was, uh, was, uh, done through the GitHub repository, there are many issues, there are many pull requests and the discussions between TAs and the students and grading everything is there.
The student had to have the code that goes so git as a version control system, uh, GitHub GitLab, the, we had a Bitbucket on-premise also, uh, deployed inside the school.</t>
  </si>
  <si>
    <t>Use a code repository tool like Gitlab or Github.
Use Github with access to students accounts repositories.
Make public access the content of the course using the GitHub.
Use Github to record grading, pull requests and discussions between teacher assistants and the students.
Use github, gitlab or bitbucket as version control system tools adopted by the course.</t>
  </si>
  <si>
    <t>Use a code repository tool like Github.</t>
  </si>
  <si>
    <t>12, 13, 13, 14</t>
  </si>
  <si>
    <t>311, 339, 361, 377</t>
  </si>
  <si>
    <t>We usually use Jenkins as an integration tool because it's open-source, it's everywhere, despite having other devices that do the job even better, but it's spread out, it's ancient.
The software [...] built with Jenkins.
Jenkins, you do not pay anything, you install it on your server, and it has gone.
They need Jenkins. So either you tell them to go install Jenkins, or what I've done is I say, Hey, here's a Docker image for Jenkins.
Now I realize every day that I need testing and continuous, I mean, Jenkins is my friend.
And, and, uh, so in terms of the continuous integration server, and there are many different services available, but can we use Jenkins because it is a, it is free and, and a lot of companies are using, but there are some other options that can be used.
Let's go for something that we have more control on, uh, using for tools like Jenkins and and a stuff like Docker or Kubernetes was kind of good in a way to, uh, support the deployment and the, uh, like the building plus deployment stuff.</t>
  </si>
  <si>
    <t>Use a Continuous Integration tool. in particular, Jenkins is open source and very widespread. 
Use Jenkins to do continuous integration.
Use Jenkins.
Uses Jenkins through a Docker image.
Jenkins can be chosen as DevOps tool.
Jenkins can be use as continuous integration tool because it is free and lot of companies use it.
Use tools like Jenkins to have more control on support the deployment.</t>
  </si>
  <si>
    <t>Use Jenkins tool.</t>
  </si>
  <si>
    <t>04, 05, 10, 10, 11, 14</t>
  </si>
  <si>
    <t>093, 118, 241, 261, 275, 374</t>
  </si>
  <si>
    <t>It would help if you observed each student and, and then, you have to listen a lot, too, what was the difficulty he had and where he arrived. So, then, we do a final assessment per student, but our perception of it. If he did well, if he had a lot of doubt, what was the point that generated the most suspicion for him?
I tell them, I am not going to grade you on what you submit. I'm going to grade you on how you got there because getting there is not the point. It's the journey, right? That's the point. [...] I teach them that every failure is a learning opportunity. If you fail and you learn something, you get credit. It's not a failure because you've learned something, we're here to learn.
You can't just grade what they submit. You have to watch how they're working.
For the assessment, as I said, I give them a lot of leeway in the beginning. Um, they can make mistakes on their Kanban board and still get full credit if they know what the mistakes are that they made. However, in later sprints, if they make the same mistakes, then I start taking points off.  So I give them time to learn, uh, so that they feel that they can make a few mistakes, take a few risks, um, and not get penalized for it.
 If there's problems, I'll tell you where there's problems and you can go fix it, go get it, right. Go, go make it, do what it's supposed to do. You know, because in industry we're, we don't just get a one and done shot. We keep at it until it works. And so I bring that to the table and I think that provides a little less pressure on students.
I tend not to get quite as hyper-focused on right versus wrong answers. ... so treating it as, as more of an assessment of maybe architecture, if you will, or an assessment of approach, as opposed to this is right, this is wrong. Uh, I think that's been fairly well received.
So people need to feel comfortable sharing, if they've made a mistake or not thinking that they're gonna have their headquarters. Right. Um, so when talking about that, if students have never worked in the context where, you know, people are blaming each other and stuff, it's difficult to understand I, to, to be concrete. And this is so crucial.</t>
  </si>
  <si>
    <t>Individually assess the student's progress throughout the course.
Grade students based on their learning journey and mistakes, not on what they submit. What's important is how they get there, because every failure is learning opportunity.
Grade based how the students working their tasks and not only what they are submitting.
For the assessment, the students can make mistakes in the beginning without fear of being penalized.
Students can fix their code problems. In industry, we keep coding until it works. It also provides a little less pressure on students.
Do not focus your assessment on right versus wrong answers.
Create an environment that students feel comfortable with sharing about their mistakes and learn how with their teammates.</t>
  </si>
  <si>
    <t>Grade students based on their learning journey and mistakes. What's important is how they get there, because every failure is learning opportunity.</t>
  </si>
  <si>
    <t>08, 08, 08, 09, 09, 12</t>
  </si>
  <si>
    <t>162, 191, 201, 223, 227, 337</t>
  </si>
  <si>
    <t>The best recommendation of all!!!
We have to talk expose it in the paper!</t>
  </si>
  <si>
    <t>They also assess the course at the end; we send you a link and recommend you do this, consider some topics to take the NPS; I think the NPS is the universal metric for assessment, I don't know if you put it under the puts under the radar, the Net Promoter Score, from zero to ten, where zero to zero to seven is Detractor, eight is passive, nine to ten is promoter based on a set of questions that you cannot induce the student.
When people come in to do this, this, this feedback with the students, understand, the students also talk to a person who is not me, who on the last day, I leave, it is a recommendation I give, I leave the conference to leave the students at ease, talking to this person, they make a mistake during the training and the person got annoyed, and with you inside, they will be a little, a little afraid to expose, although it is also by email.
You need to get the feedback, you don't get the feedback, right? So, and when we, when the students do the student evaluation, of course don't write much. So it's much easier if you can trigger this question.</t>
  </si>
  <si>
    <t>Evaluate the course, performing an NPS (Net Promoter Score) with students.
Teachers and monitors must not be present at the time of course evaluation by students.
Do not try to get feedback before a student assessment, as the student may feel fearful.</t>
  </si>
  <si>
    <t>Evaluate the course.</t>
  </si>
  <si>
    <t>04, 12</t>
  </si>
  <si>
    <t>087, 294</t>
  </si>
  <si>
    <t>Evaluate the course, performing an NPS (Net Promoter Score) with students but the teachers and monitors must not be present at the time of course evaluation by students.</t>
  </si>
  <si>
    <t>Within the menu, try to avoid making the student dependent on that stack you are teaching. So, if you're going to explain Jenkins, take half an hour to explain the pipeline in another tool, so he can see that it's possible. So he doesn't come out with the recipe ready. As much as we don't deliver it, the student creates a recipe in his head, and it won't fit in all of his daily routines. Then it will generate frustration. So, make it clear, look, can you see what we're doing? We're doing it for that reason, at Jenkins. Today we are going to use Bitbucket, for example, which is how we do it. One, as an example, correct?
They said: teacher, I can do it in such language, I can do it in such a platform, can I do it like this? [...] So, I am not going to say that there were, I do not know, six, seven, different environments, right? That there was, but let us put two or three, right, different ones. So, for us, professors, we are often not proficient in all of these, right? So, then the person will have to clarify a doubt, then you say: man, I don't know. So, you decided to do it there, you kind of jump up, like, you know? The most we can do is try to convey the concepts, right? And when the person has a very big doubt like that, you say, boy, try to explain to me how this technology is there that you are using see if I can at least translate the things that I know, that is it.</t>
  </si>
  <si>
    <t>Show the student that there are several ways and tools to do the task.
Teach in a way that knowledge can be applied in different tools, but not focus on the possible specific problems of each technology.</t>
  </si>
  <si>
    <t>I ask the students to implement a straightforward system, which will serve the entire subject. In this minor system, we're going to have tested; there's going to be built, there's going to be continuous integration, there's going to be deployment, you know?
This part of the system, which I ask them to do to monitor the discipline [...] When you go to configure the tools and such, as you were the one who developed the system, it becomes easier, I believe for you to understand all the automation and such. However, at the same time, I see that the guys have much difficulty in doing it.</t>
  </si>
  <si>
    <t>Use a simple example system made by students.
Students build their own systems during the course in order to increase their understanding of automation.</t>
  </si>
  <si>
    <t>The students could build their own system during the course.</t>
  </si>
  <si>
    <t>The recommendation 100 from interview 5 ["Mostrar ao aluno que existem várias formas e ferramentas para fazer a tarefa."] is similar but these recommendation say about to practice</t>
  </si>
  <si>
    <t>Because you have to have the mentality that you will have to get materials from different sources, right? ... you'll have to resort to gray literature, right, which is this literature from the blog, the medium, the Nubank or Netflix blog, which are sensational articles, but that don't have that scientific rigor, peer review, and such. So, like, I think the DevOps teacher needs to understand that he's in this environment, right?
Material heterogeneity is the biggest challenge [...] you have to set up a class sewing the fonts. So, sometimes, for example, in my integration course, I have to give several concepts, right? For you to talk about continuous integration, you need to talk about version control. You need to talk about build. You need to talk about testing. There are several things that are part of continuous integration, right? So, git-flow is not in the book, you know? Branch, development models, that's not in the book.
Most of the references, the most interesting cases that I considered bringing to the room are posts on INFO2, on Metzone, Hacker News, Twitter posts, Airbnb case study, Glitch, Orbitz, and such; other cases of those that are much more interesting than necessarily, books or "scientific academic" articles.</t>
  </si>
  <si>
    <t>Use various sources of DevOps study materials, such as gray literature, blog (medium, Nubank, Netflix).
It is necessary to make use of several sources when creating the course.
Information in gray literature is more interesting to illustrate DevOps use cases: posts on INFO2, Metzone, Hacker News, Twitter, Airbnb case studies, Glitch, Orbitz.</t>
  </si>
  <si>
    <t>Use various sources of DevOps materials.</t>
  </si>
  <si>
    <t>05, 07</t>
  </si>
  <si>
    <t>111, 143</t>
  </si>
  <si>
    <t>This part of the system, which I ask them to do to follow the discipline, [...] I'm seriously thinking about the idea of ​​simply giving them a system.
If I make this system, I can pass it on to people in a much simpler way, right? How do they do things and such.</t>
  </si>
  <si>
    <t>Deliver a ready-made sample system for students to use.
Using an example system designed by the teacher will give more confidence in supporting students during the course.</t>
  </si>
  <si>
    <t>Maybe it makes sense for you to provide the environment for the students, right? And this provision, you can use a docker of life, which comes already, right?
I ended up doing was to give each group a big virtual machine. And on that machine, they run three or four Docker images. Uh, one with Artifactory, one with Jenkins.</t>
  </si>
  <si>
    <t>Provide initial environment setup for students.
Give each group a big virtual machine. And on that machine, run three or four Docker images. One with Artifactory, other with Jenkins.</t>
  </si>
  <si>
    <t>10</t>
  </si>
  <si>
    <t>You need to talk about version control; you need to talk about build; you need to talk about testing; several things are part of continuous integration. So, git-flow is not in the book, you know? Branch, development models, that's not in the book. Then you start going to blogs and such, you know? Then, you will talk about software testing; if you were a software engineering book, this part of testing is extremely weak, so it is highly conceptual; there is nothing. Then you can get the articles.
 I teach them about the git feature branch workflow.
Some of this even goes down to git right, because a lot of people coming in know something about git a lot don't um, in many ways, my opinion, which I realize is, is probably not widely shared is that even if we were restricted from a software engineering department perspective, almost everything we're teaching should be retooled along devops lines, uh.
We've introduced recently is a notion of digital branches and feature branches, for example, uh, linked to stories, but we try to just give them small individual tools.</t>
  </si>
  <si>
    <t>Version control with git feature branch workflow, build, continuous integration, and software testing content should be taught.
Teach git feature branch workflow.
Use git to teach how to manage the code.
Introduce the notion of digital branches and feature branches using small individual tools.</t>
  </si>
  <si>
    <t>Teach version control with git feature branch workflow.</t>
  </si>
  <si>
    <t>08, 09, 10</t>
  </si>
  <si>
    <t>161, 225, 258</t>
  </si>
  <si>
    <t>Something I don't do. I realize that I will need to do it, but it's precisely documenting, right? Those fonts, in case you need to revisit, eh, eh, because it's so easy, right? You open a blog and stuff, you close the tab, and it died like that. So, somehow you, you are always documenting, where you got it, where you got it from, keep these links, if you have to, if you need to revisit there in future versions of the course, I don't know.</t>
  </si>
  <si>
    <t>For this part of continuous integration, [...] When you talk about continuous integration, there are several tools you can use. So, you can use Jenkins; you can use Travis; you can use Circle CI, now Github Actions is here, you know?
And then I teach them, CI continuous integration. I show them how to use Travis to automatically run the test cases.
From a tooling point of view, um, for the pipeline, we, we recommend Travis CI.
There are many checks in this course, we had to make sure that the students had done this and that, and that these, uh, checks could be, uh, automatized by your students. And they had, they added some GitHub actions and to the repository.
I want the code to go through a pipeline. It could be Jenkins. It could be github actions. It could be gitlab workflow. It could be GitHub action.</t>
  </si>
  <si>
    <t>Use Jenkins, Travis CI, Circle CI and Github Actions in teaching continuous integration.
Teach continuous integration using travis to automatically run the test cases.
Use Travis CI for the pipeline.
Do automation with Github actions.
Use Jenkins, GitLab, or Github Actions as pipeline orchestration tools adopted by the course.</t>
  </si>
  <si>
    <t>Teach continuous integration and pipeline automation.</t>
  </si>
  <si>
    <t>08, 12, 13, 14</t>
  </si>
  <si>
    <t>168, 316, 363, 378</t>
  </si>
  <si>
    <t>The recommendation would be that it would be to get tools that are minimally relevant, right? And so that you can present the different cost-benefits of each one.
I try to pick a few key ones.</t>
  </si>
  <si>
    <t>Introduce students to minimal relevant tools and their tradeoffs.
Use few key tools.</t>
  </si>
  <si>
    <t>I always pass some written evaluation of the basic concepts [...] I like the students to express in their own words what they understood [...] mainly from the cultural part.
 And the final exam, I keep, I keep the questions mostly conceptual, right. Because let's face it. If you understand the concepts, you can Google the details, right. But you don't know the concepts, you don't know what the Google, right. ... I do put some questions in that they would have only learned had they participated in the project.
The exams are really more the conceptual or philosophical elements stuff, where there is a little more of a, a cut and dry response, or at least I try to structure them that way.</t>
  </si>
  <si>
    <t>Use assessment writing of basic concepts and DevOps culture so that students can express what they understand in their own words.
Keep the exam questions mostly conceptual and about participation in the project in the final exam. 
The exams have more conceptual or philosophical elements.</t>
  </si>
  <si>
    <t>Do exams with more conceptual questions.</t>
  </si>
  <si>
    <t>08,09</t>
  </si>
  <si>
    <t>202,229</t>
  </si>
  <si>
    <t xml:space="preserve">So, there are some things that you cannot miss. All, if you see the cute little DevOps cycle figure there, right? All that part of compiling, testing, making, monitoring, and evaluating, I think all of this needs to be charged in some way; it has to come in somehow.
I would have some more, uh, time for, uh, for basics of, uh, basics of DevOps and the old technologies, and not only focus on the things that are, uh, that are very novel and very being developed right now. So, uh, because that would give students a better opportunity to, uh, understand the, uh, the other things as well.
</t>
  </si>
  <si>
    <t>The basics of building, testing, deploying, and monitoring should be present in a DevOps course.
Not just focus on the current, but teach the basics of DevOps and older technologies to a better understanding.</t>
  </si>
  <si>
    <t>13</t>
  </si>
  <si>
    <t>the recommendation is to look at the market, search, see on Twitter, discussion groups, see what's hot on Google Trends. To know how to choose a tool that is more popular, right? That it is used more and that more people can enjoy the content there, right? Because they are tools they are already used to using.
The recommendation is to see what the market is using, right? Moreover, trying to go with what is most used, like, it was no use messing with CRIO if everyone uses Docker.
 I also try to use a set of tools that are popular in the industry.
It is very critical to teach them tools that are relevant and tools that will help them get a job.
Setting up good logging monitoring notifications, some of these other open source tools that provide that kind of those kinds of capabilities. ... So I try to pick a representative sample open source, always cause I don't want people to be buying things.
 I try to use as much as possible with tools that people use in industry and companies.
I wanted to go with open source technologies so I can explain later how we build the labs.</t>
  </si>
  <si>
    <t>Research market tools on Twitter, discussion groups, Google Trends, as they are probably the tools that students are used to using and will take advantage of in their work.
Use the most relevant tools on the market like Docker.
Use popular industry tools.
Teach tools that will help to get a job.
Use representative open source industrial tools.
Use as much as possible relevant industry tools.
Prefer to use open source technologies.</t>
  </si>
  <si>
    <t>Use relevant industry tools.</t>
  </si>
  <si>
    <t>07, 08, 08, 09, 11, 12</t>
  </si>
  <si>
    <t>148, 187, 189, 216, 274, 290</t>
  </si>
  <si>
    <t>Which tool to choose, which one had to see, which was more standard in the market, which was more straightforward, which is even easier to teach, and how to fit it in, right?
You don't know what is Docker yet, but here's a common line. Just run it. And then here's a common line to run. Artifactory you don't know what it means, just type it like this. Um, it will give you an Artifactory that's running.</t>
  </si>
  <si>
    <t>Use the simplest tools chosen by the market as a method of selecting the tools that will be adopted during the course.
Use the tools like Docker and Artifactory in simplest way.</t>
  </si>
  <si>
    <t>Use the DevOps tools in simplest way.</t>
  </si>
  <si>
    <t xml:space="preserve"> I had to show the history somehow... the history of software development, showing about the processes. Cascade, RUP, agile, talk a lot about agile, because it's related and fit these topics, so, more historical, not sound, not technical... And make a parallel, there, with the agile world with the problems that DevOps came to solve, right?
I'm trying to tie the application of the devops principles and techniques and technologies, and to, and to link that together with agile approaches, for example.
We help them manage stories, backlog. Uh, so it's more on the front of, we give you requirements.
If you want to be able to experiment and, and to, to, to do the postmortem so that you can learn and you can solve issues and stuff.
I have to do more of this, um, story telling. ... I'm trying to share my experience with the students.</t>
  </si>
  <si>
    <t>It is important to show the relationship of DevOps with software development models, notably Agile.
Tie application of DevOps principles, techniques and technologies with Agile approaches.
Help students manage stories and backlog.
Make post mortem with the students to solve problems.
Use storytelling to share experience with the students.</t>
  </si>
  <si>
    <t>Use Agile approaches in DevOps classes.</t>
  </si>
  <si>
    <t>09, 10, 12, 12</t>
  </si>
  <si>
    <t>219, 257, 335, 336</t>
  </si>
  <si>
    <t>Working so hard on the theoretical aspects needed to understand why things in DevOps are in SRE as a whole [...] you have to have that.
Thus, DevOps and SRE are concepts that were born much more strongly in practice than in state of the art, that is, much more in the industry than necessarily in the university. So for you to deal with these concepts without making a real explanation, or bringing the main players about how they did it and why they did it, it is essential.</t>
  </si>
  <si>
    <t>Relate devops to site reliability engineering (sre) for students.
Show the historical importance of DevOps and SRE concepts from the main players in the industry.</t>
  </si>
  <si>
    <t>DevOps comes very close in these quirks of software architecture-like chairs. You can't just stick to the concepts. In theory, you have to show the realization of these things.
You have to learn by doing.
You can't learn the DevOps culture from a book.
Once you've been to the exercise session, you have to go back to the concept again and display them again because the, some concept only makes sense when you apply them.
I was saying at the beginning is that when you tell them that they're going to get their hands dirty and things that work one day will not work the other day, they start laughing. They don't take it seriously. Um, and then when they, when they building and they build a script to, I don't know, run some integration tests or to magically build Docker images and deploy them, it works on the machine on one guy of the group because they're working group, right? So they talk together. The one guy actually typing on the keyboard, he commits a script and they go, yes, we're done for the day. Let's go to some of the tasks, right? And then the next day somebody else was in the group wants to use it. And it doesn't work for them because they have a different environment because the script was assuming that the Docker was installed.
If we can have a students together working together and, um, working on the projects and developing projects together at the same time while the teachers are there and they, uh, we can, uh, see what they are doing, that would be better. And I think we will, uh, hopefully do this, uh, next year when grown-up situation gets better.</t>
  </si>
  <si>
    <t>It takes practice to understand DevOps concepts.
It is necessary to practice DevOps knowledge.
You can't learn the DevOps culture from a book.
DevOps concepts need to be shown in practice so that students can understand.
Students only understand problems of the environment setup when they experiment in the practice.
Promote a moment to students practice while teachers are around to help them.</t>
  </si>
  <si>
    <t>08, 08, 10, 10, 13</t>
  </si>
  <si>
    <t>173, 174, 236, 250, 360</t>
  </si>
  <si>
    <t>Some settings you can have for us to help, like, oh, you have the monitors team, for example, this allows you to go to a more excellent practical line because you'll have more arms to help you, evaluate and everything else.
We had to do as TAs and other things I think, uh, we, it's not, uh, only before the lecture, but during the whole, uh, time that this, uh, this course was, uh, going on, we had to check the, uh, check the github. And, um, students had, since they had to make some contributions, uh, we had to make sure that their contributions, uh, could pass all the checks that we had. [...] So we had to check that they were doing what they were supposed to do before the lectures, during the lectures and after it. So that was our, uh, our role in this course.
What we've done in this case was to let the TA grade the projects, um, because then it was way more simple. And as the two props, we were, uh, grading the exams and were like cross validating.</t>
  </si>
  <si>
    <t>If possible, have a team of monitors to assist in the assessment process.
Teacher assistants check if students contributions pass all the roles of the course.
Teacher assistants grade the projects and the professors grade the exams with cross validating.</t>
  </si>
  <si>
    <t>Teacher assistants help in the assessment process.</t>
  </si>
  <si>
    <t>13, 14</t>
  </si>
  <si>
    <t>353, 390</t>
  </si>
  <si>
    <t>Because it is based on the assumption in all my disciplines that, right, knowledge is an open work, right? I'm not the holder of all knowledge [...] So they learn to curate what is relevant, necessary or not, is part of my teaching and learning processes.
So, in my activities, I always try to put a decision-making Delta that belongs to the team, right? To the students and who will obviously assess their understanding in all the semester's discussions. So, all decisions are valid, obviously, right?</t>
  </si>
  <si>
    <t>Instigate students' critical thinking and encourage the self-taught search for extra-class information.
Promote and evaluate students' independent decision-making in the learning process.</t>
  </si>
  <si>
    <t>Promote students' independent decision-making in the learning process.</t>
  </si>
  <si>
    <t>I already have mine that has my discipline ready, right? So the challenge, for those who will start one, is less.
I already have mine that has my discipline ready, right? So the challenge, for those who will start one, is less.</t>
  </si>
  <si>
    <t>You can use the discipline that the interviewee professor Vinicius elaborated as a reference for the elaboration of other DevOps disciplines.
Use other DevOps courses as a reference.</t>
  </si>
  <si>
    <t xml:space="preserve">Use other DevOps courses as a reference.
</t>
  </si>
  <si>
    <t>PBL matches very well with, at least like this, how I see the DevOps signals or architecture, or MicroServices, which is another discipline I have; it's cool because you can start from the problem and show why people are using what are you using. So I think it matches perfectly.
Bringing the concept applied, then use an approach like CDL, or PBL, that helps a lot because then you have a way to present the problem and then show the concept behind the resolution of that problem.
Most of the time to give a problem solving questions where I put a problem and say, okay, and push a student to critically think. ... , I put a problem and then we'll come up with the solutions for the problem. And I haven't been able to find a good way to do that with DevOps, in, uh, in terms of assessment.
We decided to go on a problem-based approach. So having like introductory lecture, giving the context, giving the leads to follow, then getting a problem based on, on, uh, like a long-term project for the whole semester.</t>
  </si>
  <si>
    <t>Make use of Problem-Based Learning (PBL).
Problem-Based Learning (PBL) is great for teaching DevOps.
Use problem solving questions in DevOps assessment. It pushs student to critically think.
Use problem-based approach on the projects of the students.</t>
  </si>
  <si>
    <t>07, 11, 14</t>
  </si>
  <si>
    <t>393, 286, 385</t>
  </si>
  <si>
    <t>Today, I don't use it; I use not only PBL; there is an inverted classroom, right? I think this translation is into Portuguese; I work with missions, right? So, the execution itself is Agile; we always have a post-mortem for each task. My methodology today, at work, is a combination of a series of different good practices that come from my professional experience and part of what I learned, seeing that it worked and didn't work while teaching.</t>
  </si>
  <si>
    <t>I break them up into nine teams of five students each.
For this course, I haven't done as much in terms of team projects, although I'm rolling that around to every, because everybody loves team projects.
 There was something like 17 groups.
I put them by a team of four, six per group, and then we work together and, and that's good also because it may be working in a team.</t>
  </si>
  <si>
    <t>Organize the students into teams of five.
Students like to work on team projects.
Students organized by groups.
Put students to work by a team of four to six per group.</t>
  </si>
  <si>
    <t>Organize the students into teams.</t>
  </si>
  <si>
    <t>09, 10, 11</t>
  </si>
  <si>
    <t>228, 233, 271</t>
  </si>
  <si>
    <t>And then I tell them, I am not going to grade you on what you submit. I'm going to grade you on how you got there because getting there is not the point. It's the journey, right? That's the point. It's how you got there. And so, um, I teach my class in sprints. We do five, two weeks sprints in a 15-week course. And I give them the requirements for each sprint, what I need them to build. And I teach them how to do agile planning. And then they go build an agile plan.
So I try to force them into these situations that really drive home the message of how to work as a DevOps team, how to work agile, but you've got to live it.
So we do things in sort of an iterative and incremental model where every week or every sprint, if you will build on the previous one.</t>
  </si>
  <si>
    <t>I teach my class in sprints. We do five, two weeks sprints in a 15-week course. I give them the requirements for each sprint, what I need them to build and I teach them how to do agile planning. Then they go build an agile plan.
Make students experiment situations where they can learn how to work as a DevOps team, how to work agile.
Use an incremental models with sprints.</t>
  </si>
  <si>
    <t>Do agile planning with sprints.</t>
  </si>
  <si>
    <t>08, 09</t>
  </si>
  <si>
    <t>170, 220</t>
  </si>
  <si>
    <t>Those are the ones you remember, right? Not just read, right? If you learn in the abstract, you'll soon forget it. But if you learn in context, then you'll remember it because you understood why you did it. So I try to teach them just enough to get them going.
 I used to have people stand up during Jenkins instances to do the work, but that just at the end of the day, that's a distraction. My goal is not to teach them how to administer Jenkins.
I'm having conversations with the university about trying to take the devops course and essentially converting it to a three course sequence one for agile, one for kind of the dev part of devops and one for the ops part of devops.
So second one is about establishing the pipeline and then they finish the second one by, uh, building the Docker images. But it's not in depth about containers or, or kubernetes, but that's easily touch it. Okay.
They need to do concrete things ... it's to be able to traverse the whole thing without necessarily going in depth about all of these things.
I need very solid, uh, research. It's a sorry, a lab assistance. The people responsible for the labs of course, assistants that that can actually deal with the students. So I'm lucky to have students and have good industrial experience, uh, to do that.</t>
  </si>
  <si>
    <t>Teach just enough to get them going so they can learn in the right context.
Do not focus on unnecessary features of tools like avoid administering Jenkins if you want to practice continuous integration.
You cannot possibly get through everything in details.
Teach how to use tools like Docker and Kubernetes but do not much depth.
Do concrete things without necessarily going in depth about all.
Do not teach deeply some hard technologies like Kubernetes.</t>
  </si>
  <si>
    <t xml:space="preserve">Teach just enough of DevOps tools to get the students going so they can learn in the right context. </t>
  </si>
  <si>
    <t>09, 09, 12, 12, 12</t>
  </si>
  <si>
    <t>211, 214, 301, 305, 306</t>
  </si>
  <si>
    <t>I teach them how to work as a DevOps team. And we create a slack channel. , and I create a channel for each one of the teams. And they're all collaborating in their channel. They have 24/7 access to me. They can ping me at any time on slack.
You have a question, ask me the question in the moment, right? Because that's when the answer is important to you.
Whenever they have a problem they can come to me. And I tell them, don't spend too much time Googling stuff. If you don't understand something, ask me if, if you don't understand what I presented, then I didn't present it in a way that you could connect with it. [...] Everybody learns differently.
I'm always asking you the last factor. I'm always taking almost an hour to, as a student. Just give me your feedback. Like, like very openly, right? That's you should all give me a feedback again.
Each week we had, uh, four hours of, uh, lectures and answering questions from students and, and, uh, making, making some points about the course more clear.</t>
  </si>
  <si>
    <t>I teach them how to work as a DevOps team. And they're all collaborating in their channel. They have 24/7 access to me. They can ping me at any time on slack.
The student's question should be answered in the moment.
Incentive professor-students interaction, easing fast solving questions.
Take time to hear student's feedbacks very openly and give them your feedback too.
Separate time to answer students questions, each week, four hours, lectures and answering questions, making some points about the course more clear.</t>
  </si>
  <si>
    <t>Provide fast feedback to the students.</t>
  </si>
  <si>
    <t>08, 08, 12, 13</t>
  </si>
  <si>
    <t>166, 171, 293, 359</t>
  </si>
  <si>
    <t>I like to make them feel a little bit of pain before I give them the solution. So I will have them to run their test cases.
The thing I've done to try to avoid a little bit of the mess is I want to go gradual. I want to be gradual in the class. So first I teach compilation and testing. Then I teach continuous integration. team A is going to build one piece team B is going to build another piece that depends upon what team is built.</t>
  </si>
  <si>
    <t>Don't give the solution right away, let them reach it first for themselves.
Teach DevOps giving the content gradually, like first teach compilation and testing, then continuous integration; do not give everything right away so easily.</t>
  </si>
  <si>
    <t>Don't give the solution right away.</t>
  </si>
  <si>
    <t>So sometimes a student will say to me: "professor, what do I do if another student is like not pulling their weight on the team?", And I say: "when you go to a job interview, you're going to be asked the question, tell me about a time when a member of your team wasn't pulling their weight. And what did you do to get them excited and to contribute again, today's the day to go write that story. Today's the data to write the answer to that question".
You need to sit together and experience because if you can't work as a team, you're not gonna make it right out in industry because we want team players. I don't want heroes. I don't want people who saved the day. I want people who mentor each other.</t>
  </si>
  <si>
    <t>Make the group motivation a responsibility of themselves, students should motivate each other.
Teaching how to students mentor each other is one of the most important things and must be a priority.</t>
  </si>
  <si>
    <t>Make the group motivation a responsibility of themselves.</t>
  </si>
  <si>
    <t>8</t>
  </si>
  <si>
    <t>Do they understand what the cloud is? It'd be great if there was a cloud course before mine, but there isn't.
It's an option that we give them the year before too preparing them.</t>
  </si>
  <si>
    <t>It'd be great if there was a Cloud course before DevOps course.
Prepare students with previous courses.</t>
  </si>
  <si>
    <t>Prepare students with previous courses that teach related DevOps concepts.</t>
  </si>
  <si>
    <t>We use Vagrant and VirtualBox. And so I don't care if you using windows or using Mac or whatever you're using.
I selected Vagrant and virtualbox because they're both free. ... so I had to change the class for them to use Docker and VirtualBox. 
They call my repo, Vagrant up and they're up and running. And so that's how I solve that problem. Bigger. It does a very good job of solving that consistent environments for students.</t>
  </si>
  <si>
    <t>Vagrant and VirtualBox are useful to create consistent development environment.
I selected Vagrant and virtualbox because they're free.
Make environment setup consistent between students using Vagrant.</t>
  </si>
  <si>
    <t>Vagrant and VirtualBox tools are free and useful to create consistent development environment between students.</t>
  </si>
  <si>
    <t>183, 389</t>
  </si>
  <si>
    <t>I selected Vagrant and virtualbox because they're both free. ... so I had to change the class for them to use Docker and VirtualBox.
We build Docker images.
Let's go for something that we have more control on, uh, using for tools like Jenkins and and a stuff like Docker or Kubernetes was kind of good in a way to, uh, support the deployment and the, uh, like the building plus deployment stuff.
I want to be able to deploy it with containers. So it can be, um, through Kubernetes, it can be through Docker.</t>
  </si>
  <si>
    <t>I selected docker docker because it is free.
Docker can be chosen as DevOps tool.
Use tools like Docker to have more control on support the deployment.
Use Docker as container deployment tool adopted by the course.</t>
  </si>
  <si>
    <t>10, 14, 14</t>
  </si>
  <si>
    <t>262, 375, 379</t>
  </si>
  <si>
    <t>We use selenium to, to work on the, uh, on the UI, as a browser.
We use Selenium for test automation.</t>
  </si>
  <si>
    <t>Use Selenium to automate UI tests.
Use Selenium for test automation.</t>
  </si>
  <si>
    <t>Use Selenium for UI test automation.</t>
  </si>
  <si>
    <t>Students will ask me, can I use a different test suite? Can I use, you know, something different? And I'll say, well, you can, but then it's up to you to figure out how it integrates back into everything.
 So it's rather simple that we, we let them, of course use the programming language. They want to develop the application. So, you know, the department, I think traditional were quite open with respect to that in the department. Yes. Java is still used, but students, these days, don't like Java. Um, they prefer Python. They prefer different things. So for us, we don't care, right? The application we give them when we gave them the HVAC application, we give them, uh, I think they have, I should even look myself, but I think we, we created two versions, one, it says Java version.
So we support them to the Travis CI. We support them with a certain number of things, but if they want to choose something else, it's okay. I mean, but you know, they have to understand that we won't necessarily support them.
We asked them to choose a tool, uh, on internet and new tool, and then use that tool and show other students how that works. So, uh, we didn't have some predefined, uh, projects.
Just find whatever they want to find and work on whatever they want to work on and let them be free since that was our goal in this course, uh, we let them choose, um, novel technologies, the technologies and the tools that are being used, uh, today and the tools that are being developed today. 
We decided to let the student choose and said, okay, you have your option and do what you want, but you're responsible of doing it.
It was a graduate course, I started not to, uh, enforce given tools ... I want you to have a version control system that should be git, but git up, gitlab Bitbucket, Bitbucket on premises. ...  you can justify and defend each step of what's happening to your code in the context of devops.</t>
  </si>
  <si>
    <t>Students could use other tools non-taught without professor support.
Do not force students to use a single language like Java.
Give students the freedom to choose other tools they want, but make it clear that these tools will not be supported by teachers during the class
The students choose the tools and the projects freely on internet.
Let the students be free about the used tools and technologies.
Give the responsibility to the student to chose the system and also the responsibility of what they are doing.
Do not enforce given tools on a graduate course. The students should justify and defend each step of what's happening to their code in the context of devops.</t>
  </si>
  <si>
    <t>Do not force the technology stack used by students in their systems.</t>
  </si>
  <si>
    <t>12, 12, 13, 13, 14, 14</t>
  </si>
  <si>
    <t>315, 317, 344, 348, 371, 381</t>
  </si>
  <si>
    <t>I'm going to watch your Kanban board every week.
 I don't give quizzes because I'm grading them every day, watching their Kanban boards, seeing how they're working, interacting with them on slack. 
 I built kind of a fictitious company [...] based on my experience [...]  the students work in groups of three [...]  in the first lab, they have to set up their environment [...] We bring them also to, to build, uh, two small applications that actually extract, um, data from the Kanban, uh, in GitHub using the GitHub APIs, because I want the students to one that very important aspect of DevOps is the continuous improvement. So if you want, you have to apply the same principles to the process that you're applying to your product.
We enforce the usage of, of the, of the Kanban, because it's an important practice in devops to make the work visible and stuff.
Make the students realize that the Kanban has certain information for a certain purpose. Um, if I want to analyze my process, I may extract information from the Kanban that will tell me about, you know, the time that I spent in the development phase or in the, in the review phase and things like that.</t>
  </si>
  <si>
    <t>Teach Kanban board.
You don't need quizzes if you grade the students continuously watching their Kanban boards.
Create a fictitious company based on experience for students to practice continuous improvement, creating applications, extracting data from Kanban.
Use Kanban to make the work visible in devops.
Make the students realize that the Kanban has certain information for analyzing the overall process.</t>
  </si>
  <si>
    <t>08, 12, 12, 12</t>
  </si>
  <si>
    <t>198, 298, 312, 322</t>
  </si>
  <si>
    <t>I actually last semester I prepared something on Sunday. And when I got Wednesday, when we had the class and I went to the cloud, the cloud had changed. [...] we're pushing to the IBM cloud the other night and it said there's an, there's a new update available for the tool. Uh, you know, version two, it may have breaking changes. And I said, timeout, nobody press, yes, everybody press no, because that's not the version I used on the weekend.
I'm usually maybe a couple of weeks out verifying something for an upcoming, an upcoming session.
The second recommendation is update your exercises often. ... you can get everything set up.
So you have to have your stack ready, but you have to update it with the current version of the software that you intend the students to use fairly close to the beginning of the session, if you don't want to be surprised.</t>
  </si>
  <si>
    <t>Check if the the labs work well always before start the class.
Verify if labs exercises are working before classes.
Update your exercises often to get everything set up.
Update your exercises frequently.</t>
  </si>
  <si>
    <t>222, 237, 239</t>
  </si>
  <si>
    <t xml:space="preserve">So without having, uh, physically having a technical assistance in the class and I do have TA's on with my zoom and they do help students over slack, uh, to get things going.
We had a long Google doc that the students during the lectures and after the lectures, students could add their questions there. And then we, the TAs could answer the questions, uh, in the doc. </t>
  </si>
  <si>
    <t>Teacher assistence help students over slack managing questions.
Use Google Docs during the lectures so students could add their questions. Teacher Assistants could answer the questions in the doc.</t>
  </si>
  <si>
    <t>Teacher assistence help students over managing questions.</t>
  </si>
  <si>
    <t>In that assessment, you know, that they're, um, there are 50 multiple choice questions in each exam, no partial credit. Um, and, and so, and I give, and it's an hour, uh, you know, to go do that exam. ...  we're remote now.
The book I have quiz, uh, again, it could be translated and adjusted, but that's the way to, to test in the exams. ...  one part is exactly quiz questions. So they have multiple choices.
If I was asking you the question and say, give me the three benefits of this thought of this, uh, concept, then it's memorization. But if I give them five, if I give you five choices and they could be between zero and five, that are true statements with respect to this concept, it's not about memorization. It's about understanding.
If the exam is in presence, then I don't care that much if, if they do the control that before, because ultimately they have to understand, I think that these quizzes to me have a specific objective.</t>
  </si>
  <si>
    <t>50 multiple choice questions in one hour each exam if you are remote.
Use quiz in the book to test in the exams with multiple choices.
Multiple-choice format questions about DevOps concepts favor the understanding instead of memorization of the students.
Quizzes forces students to understand the concepts.</t>
  </si>
  <si>
    <t>Use quiz with multiple choices to assess the students.</t>
  </si>
  <si>
    <t>12, 12, 12</t>
  </si>
  <si>
    <t>323, 333, 334</t>
  </si>
  <si>
    <t>the exams are open book, right? I, I, when I'm in the classroom, they're not open book, but for, for the remote learning, they have to be open book. I just can't enforce it.</t>
  </si>
  <si>
    <t>9</t>
  </si>
  <si>
    <t>People coming through the programs want to play with technology. That's half the reason we got into this field in the first place, and it's a really fun thing to be able to do, but it's not sufficient. And trying to change that mindset to emphasize more the idea of devops as a means of continuous improvement, as a means of organizational change. As a, to some extent I use this phrase guardedly, but to some extent, a philosophy around how the organization is going to go from concept to implementation, that's a much harder set of skills to pick up.
The global approach made sure the students not associated with devops with a CI/CD pipeline, because in my opinion, it's all about continuous improvement.
This mindset of thinking of continuous improvement is so important, right?  ... the improvement of the daily work is more important than the work itself.
What should I improve to make my process more efficient? So to me, this is the most important thing of DevOps. And, and, and then you do it through automation, automation of, of the deployment process, automation of, of, you know, the testing process automation later of the security, uh, thing and so on.</t>
  </si>
  <si>
    <t>Make clear the importance of the DevOps mindset like continuous improvement in constrast to using the tools.
Continuous improvement is a key DevOps concept.
The mindset of thinking of continuous improvement is so important because the improvement of the daily work is more important than the work itself.
The most importart thing of DevOps is to improve my process continuously through automation of the deployment process.</t>
  </si>
  <si>
    <t>303, 327, 328</t>
  </si>
  <si>
    <t>SERIA O CASO DE JUNTAR COM O ID 125</t>
  </si>
  <si>
    <t>SIMILAR A 202 E 181?</t>
  </si>
  <si>
    <t>separate the dev and ops part into different courses.</t>
  </si>
  <si>
    <t>So I try to give folks one or two small projects.
We will also build a sample, which is on github. I'll send you the link. If you want. We build a sample that is called a cookie factory. Um, it's, it's a system to handle a cookie factory where you can order cookie pay for them, and you get a shopping cart with cookies, et cetera, right? So it's just a small sample.
We have built a little simulator that is quite simple, but that's easy to traverse the whole, essentially the main phases of DevOps.</t>
  </si>
  <si>
    <t>Specify what projects the students will work and provide one or two small projects.
Use small projects with students.
Use a simple application to walk through all DevOps concepts.</t>
  </si>
  <si>
    <t>Research small projects for the students.</t>
  </si>
  <si>
    <t>246, 304</t>
  </si>
  <si>
    <t>So being a little bit more forgiving, a lot of the tools that we're using are brand new. For many people, getting them all to work together can be particularly challenging. And so making it a little less stressful, uh, can be helpful.</t>
  </si>
  <si>
    <t>Be a little bit more forgivable, understanding that for some people getting all the brand new technologies to work together can be really hard, so make it less stressful</t>
  </si>
  <si>
    <t>Our curriculum allows some degree of freedom according to the teacher's preferences.</t>
  </si>
  <si>
    <t>Evaluate the single project of the students on the standpoint of the architecture and also from the angle of continuous integration.</t>
  </si>
  <si>
    <t>So we built a curriculum in just very innovative way, the two classes together, a single project, a single teaching team, but we evaluate on two angles.
The course about, uh, software architecture and DevOps, or we're talking about a different way of architecting software, um, mainly distributed system, because it was easier for the DevOps parts who were triggered challenges was a distributed system.  ... And they had one, one lecture in the morning lecture slash lab and one lecture slash lab in the afternoon. And they were really like Friday was dedicated to DevOps slash uh, architecture.</t>
  </si>
  <si>
    <t>Built a curriculum with DevOps and Software Architecture classes together, a single project, a single teaching team, but we evaluate on two angles.
The courses of software architecture and DevOps taught in the same day.</t>
  </si>
  <si>
    <t>The courses of software architecture and DevOps taught together.</t>
  </si>
  <si>
    <t>And then another team uses in a 13 deploys to environment that the first team cannot get to because it's a production environment that the coder will not get access to it. So in real life, you have different teams of people that talk only through some channels.</t>
  </si>
  <si>
    <t>And then as we go into more concept, like what is Jenkins and what is Artifactory and what is Docker, then we can go back on those things.</t>
  </si>
  <si>
    <t>Build something that is portable and something that can be broken down into several pieces where one student runs one bit and then another students runs the rest.</t>
  </si>
  <si>
    <t>In this year, if you do that, it's too early and it's going to be too hard for you as a teacher to, to know what's going on. So by forcing the technology stack and telling them.
I mean, they're free to do what they want from a functional standpoint in the project.
But from a tools and technology, we force just on them to avoid too many variation between the groups.
We use a very specific language. This is to just make it easy. I mean, sometimes we give it a bit too flexible. So right now we use a Java and Javascript because we are targeting web application. But, uh, when we students are implementing, uh, new features, so we give them the flexibility. We say, okay, parents, if you want to implement in Python, you can do it as long as you can wrap it in, uh, integrated in the new code.
 We give some kind of rough summary of what the application is supposed to do.</t>
  </si>
  <si>
    <t>Force students to use technology stack used on course.
It is necessary to give freedom to student develop their functional solution.
We force tools and tecnology and alert them to avoid too many variation between the groups.
It is important to give flexibility to students to develop their solution although some things are determined.
Give students a rough summary of what their application are supposed to do.</t>
  </si>
  <si>
    <t>10, 10, 11, 11</t>
  </si>
  <si>
    <t>248, 249, 281, 282</t>
  </si>
  <si>
    <t>CONTRASTA COM 315</t>
  </si>
  <si>
    <t xml:space="preserve">Go gradually. Um, so tha t,that was part of my strategy. The other thing is I've built a few, what I called a, um, whiteboard free session. So I go something like every week we have half a day, one hour of, uh, formal teaching. And then two hours exercise and we do that for like three weeks in a row. [...] So I do like three classrooms, one free session inspired by what they fail on and I continue.
</t>
  </si>
  <si>
    <t>Build whiteboard free sessions inspired by what students have failed and the two hours exercise.</t>
  </si>
  <si>
    <t>We've done live presentation, where they have something that 20 minutes to describe the architecture, to describe their build strategy, that test strategy and demonstrate it on the screen. Um, and that is evaluated by a jury of one representative from the software architecture class and one representative from the DevOps class.
Students have to choose some topic and say, okay, we want to do a presentation on this topic. And that topic can be anything related to DevOps.
Everyone who wanted to present a tool or to do a demo or anything else they could give, uh, get some feedback from other students.</t>
  </si>
  <si>
    <t>The students have something that 20 minutes to describe the architecture of the project, to describe their build strategy, that test strategy and demonstrate it on the screen. That is evaluated by a jury of one representative from the software architecture class and one representative from the DevOps class.
Make students prepare a presentation about topics related to DevOps.
Students can present a tool or do a demo to get some feedback from others during the classes.</t>
  </si>
  <si>
    <t>13, 13</t>
  </si>
  <si>
    <t>340, 342</t>
  </si>
  <si>
    <t>We show them Kubernetes.
Let's go for something that we have more control on, uh, using for tools like Jenkins and and a stuff like Docker or Kubernetes was kind of good in a way to, uh, support the deployment and the, uh, like the building plus deployment stuff.
I want to be able to deploy it with containers. So it can be, um, through Kubernetes, it can be through Docker.</t>
  </si>
  <si>
    <t>Kubernetes can be chosen as DevOps tool.
Use tools like Kubernetes to have more control on support the deployment.
Uses Kubernetes as container deployment tool adopted by the course.</t>
  </si>
  <si>
    <t>376, 380</t>
  </si>
  <si>
    <t>what I do is that after introducing a concept and so on, I started really looking at very specific issues ... so in the lab we students learn, uh, in our, to be able to, for instance, to create a pipeline currency, DevOps pipeline, and, and, um, very, uh, set up A B tests, create test cases and do automated test, uh, test automation.</t>
  </si>
  <si>
    <t>The students have to do in the projects is to start by coming up with the requirements of the obvious application, and then start setting up their own environment and provide some additional functionalities that we want to implement.
 So they have set up their environment.
The second one is to, we give them an application. It's an actually an HVAC humidity, air conditioning and ventilation, um, and they don't develop the application, but they have to build the pipeline to support this existing application.</t>
  </si>
  <si>
    <t>Students start setting up their own DevOps environment and provide additional feature using simple application in the project.
Let students setup their environment for themselves.
Give students an application that they have to build the pipeline to support it.</t>
  </si>
  <si>
    <t>Students setting up their own DevOps environment.</t>
  </si>
  <si>
    <t>299, 300</t>
  </si>
  <si>
    <t xml:space="preserve">Also making the project interesting is important because it, you can, it's very easy when you are teaching to just take a very small project, which is not very, uh, challenging in all with students.
</t>
  </si>
  <si>
    <t>So in terms of the tools, I feel better. I think one of the good aspect in DevOps is that there are a lot of tools [...] DevOps tools are available and where a lot of them are free and some of them are conscious of those. So a lot of them are free. And, and then, so, so far, I think it has been good.</t>
  </si>
  <si>
    <t>Quite often, what we do is have someone in our team to implement the application.</t>
  </si>
  <si>
    <t>So in the course I split, but so about 80% of presentation is just a regular, uh, concepts and so on and about 20% is about concrete applications.
 And so if we can find a way to be able to, to compress the experience or expertise in the practical experience and expertise in the context of lectures and so on.</t>
  </si>
  <si>
    <t>Divide the course into 80% of concepts and 20% of applications.
Conciliate the experience in labs and the context of lectures.</t>
  </si>
  <si>
    <t>Divide the course into 80% of concepts and 20% of applications.</t>
  </si>
  <si>
    <t>GRANDE CONFLITO COM O ID 15.</t>
  </si>
  <si>
    <t>We presented as a lab project [...] So the students start initially by defining the requirements and then after they start a secondary pipeline, and then they do at least a couple of weeks iterations cycle and develop cycle. And then after they go to do performance testing to do a security testing and all those kinds of things, and for each of these deliverables, we submit something, every report. And, and, uh, so that's very easy to map because it's a very practical.</t>
  </si>
  <si>
    <t>I had a different assistant for the labs who was the next student. So the first time, and the labs were quite well received.
If you have lab assistants that are, you know, good, it's pretty easy to manage.</t>
  </si>
  <si>
    <t>Qualified teacher assistant is important to setup the labs.
It is good to have teacher assistants with labs.</t>
  </si>
  <si>
    <t>Teacher assistants are helpful with labs.</t>
  </si>
  <si>
    <t>the unicorn [project book] who was just, just published last year is more about the Dev stuff, but it really brings it into the mindset of, of, okay, what are the issues concretely that we face.</t>
  </si>
  <si>
    <t>Use Tuleap for lifecycle management.</t>
  </si>
  <si>
    <t>We try to make it minimal</t>
  </si>
  <si>
    <t>First define the objectives of your course and making sure you stick to it.
But with respect to the technologies, I think that knowledge is, will change [...] I think like one of the, uh, not too good to give it giving advices or, but I can share my experience and my thoughts. Um, I think that that's important to remember one thing as important as what is the objectives of your course.
" I think if we lay the rooms, uh, maybe it's more clearly and more specifically, I think students, we know better what they will get from what they do. [...]
I think we will have, uh, we will, um, uh, rewrite some of the rules to make sure that, uh, students know how many points they get for what they do, uh, beforehand we should do it because, uh, it will not be perfect because students can choose many different things. "</t>
  </si>
  <si>
    <t>Define clearly the objectives of your course and make sure you stick to it.
Constantly remember the students about the objective of the course.
Make sure the students know the rules of the course. For example how many points they get for what they do.</t>
  </si>
  <si>
    <t>Explain the course objectives to the students.</t>
  </si>
  <si>
    <t>12, 13</t>
  </si>
  <si>
    <t>319, 357</t>
  </si>
  <si>
    <t>I give them two case studies, uh, so to see if they can analyze a given situation.
Like theoretical exam point of view, we use the case studies. ... you have three hours explain what you do in this situation. ...  we were really grading half of the description and half of the justification.
He grade scale was half description, half justification, and that's helped a lot, but it's always, um, qualitative in this way.</t>
  </si>
  <si>
    <t>Give case studies to see if the students can analyze a given situation in the exams.
We use the case studies in theoretical exam. Students have three hours to explain what they do in this situation. We were really grading half of the description and half of the justification.
It is helpful to use the description and the justification of case studies on qualitative grade scale.</t>
  </si>
  <si>
    <t>Use case studies in the exams.</t>
  </si>
  <si>
    <t>387, 388</t>
  </si>
  <si>
    <t>we use one of the topics in DevOps that becomes quite important is value stream mapping. So to be able to capture your process is pretty simple in terms of modeling as a flow of activities, value stream mapping is a technique that has been used for quite a long time and in production.</t>
  </si>
  <si>
    <t>constantly try to figure out how to improve the quality of the course</t>
  </si>
  <si>
    <t>I'm thinking of bringing a couple of, um, industrial speakers as well to share their experience.
We can have people, uh, there, there are, uh, there are everywhere that we can invite and, uh, let the students know what is going on in practice, not just some, uh, theoretical, uh, problem.
The lectures were not, uh, were not presented by the teachers. They were presented by the people who are, who were from the industry and invited to the, uh, to the course to present something for students.
I think the course we've built in France was successful because we've done it with a software architect from IBM or the guy who was building, um, like as part of his industrial practice, he was building huge, uh, systems.
You need to have people interacting with the students that are practitioners and that really, uh, well know their in a way.
So we thought we were doing right, but after having discussed with industrial partners and practitioners, like not just discussed, you know, conference or attending a meetup, like really discussing for hours.
To carefully select the, um, I, I have a lot of industrial, uh, practitioners, guest lectures. Uh, we, we, we had the one prof that wasn't industrial.
The bigger mistake I've made was to, uh, use a coach. Uh, and we invited him and the guy was, uh, setting himself running himself as a DevOps coach, but the guy just had written books and, uh, had no idea what he was talking about.</t>
  </si>
  <si>
    <t>Try to bring industrial speakers to share their experience.
Invite people to show students what's going on in practice, not only in theoretical problems.
The lectures could be presented by people who were from the industry.
It is important to have industrial partnership to share skills to contribute to the course.
You need to have DevOps practitioners interacting with the students.
Discuss the course with industrial partners and practitioners.
You should be careful about selecting guest lectures. Prefer industrial practitioners.
Do not invite a DevOps coach to do DevOps lectures.</t>
  </si>
  <si>
    <t>Select industrial speakers carefully to share their experience with the students.</t>
  </si>
  <si>
    <t>13, 13, 14, 14, 14, 14, 14</t>
  </si>
  <si>
    <t>343, 352, 366, 367, 368, 382, 383</t>
  </si>
  <si>
    <t>Then do, um, do some research about it, write an essay or, uh, or if there is, um, there is a tool available, uh, on GitHub it's, if it's open source, they can contribute to that, uh, to that tool and maybe fix some issues and report it to the teachers.
Many of them did was to engage in the, uh, in the development process of the, uh, of the large projects that other people are working on. And, uh, they could choose a project, I think with more than a hundred stars. ...  And they had to make sure that they pass all the, uh, all the steps and they had to do some contributions, but to there, to those for repositories. And, uh, and they had to also engage in a conversation with other people from other teams, uh, in the process that, uh, they were, uh, making those contributions.
They could contribute to some open source projects that are large projects and they are being used. So it's something that I'm looking for. Something we had some stats, uh, on github.</t>
  </si>
  <si>
    <t>Do some research about DevOps topic, write an essay, and if the tool is open source, contribute to that tool and fix some issues and report it to the teachers.
The students should contribute and engage in the development process of the large projects with more than a hundred stars on Github.
Students could contribute to some open source projects that are large and being used and had more than one hundred stars.</t>
  </si>
  <si>
    <t>Do some research about DevOps topic, write an essay, and if the tool is open source, contribute to that tool and fix some issues and report it to the teachers. The open source project should have more than a hundred stars on Github.</t>
  </si>
  <si>
    <t>349, 362</t>
  </si>
  <si>
    <t>So, uh, we didn't have some predefined, uh, projects, and as we can, yes, this was a bigger problem for us.</t>
  </si>
  <si>
    <t>CONTRASTA FAKE COM 315</t>
  </si>
  <si>
    <t>In fact, some of them, we asked them to, um, to, if they wanted to do a tutorial on a tool, we ask them to upload that tutorial on, uh, Katacoda.
So we asked the students, uh, to, uh, use another tool if they want to present something that doesn't work on katacoda. So, uh, the way that we solved it was to change the requirements and to change the, uh, change the environment and the tools that they had to use.
So that's the course automation and executable tutorial was, uh, chatter, katacoda, um, website. They use the katacoda that website to, uh, to write a tutorial on a tool for them DevOps.</t>
  </si>
  <si>
    <t>Use the Katacoda website to students create tutorials about tools.
Change the requirements and the tools to solve the issues in environment setup on Katacoda.
The students write a tutorial about a DevOps tool on katacoda to describe the course automation.</t>
  </si>
  <si>
    <t>Use the Katacoda website to students create tutorials about tools. Change the requirements and the tools to solve the issues on Katacoda.</t>
  </si>
  <si>
    <t>347, 364</t>
  </si>
  <si>
    <t xml:space="preserve">And they had to also engage in a conversation with other people from other teams, uh, in the process that, uh, they were, uh, making those contributions.
Other task that we ask them to do something for our own course, and, uh, then, uh, engage in a conversation with TAs and other students to make sure everything's more work well.
</t>
  </si>
  <si>
    <t>Make students engage with people from other teams in the classes.
Engage in a conversation with teacher assistants and other students to make sure everything's more work well.</t>
  </si>
  <si>
    <t>if it was up to me, I would put some time to laying the background. And I'm talking about basics of DevOps and basics of some tools that are mainly used by everyone.</t>
  </si>
  <si>
    <t>CONTRASTA COM O DESAFIO ID ÚNICO 08</t>
  </si>
  <si>
    <t>So I had to find one that was dying and, uh, hopefully the colleague who was handling his dying course forgot to answer to an email.</t>
  </si>
  <si>
    <t>So this guy was really half time IBM and half time in the faculty of engineering.</t>
  </si>
  <si>
    <t>we use the bluemix, uh, platform from, uh, IBM, that was really, everything was integrated and those kinds of things that was really good in a way,</t>
  </si>
  <si>
    <t>DevOps tools are well integrated in Bluemix platform from IBM.</t>
  </si>
  <si>
    <t>And it was selected by 80% of the cohort, which usually an elective course is like 20%. So is it like we had a lot of students inside these insights because they all wanted to learn about devops.</t>
  </si>
  <si>
    <t>Challenge Quotes</t>
  </si>
  <si>
    <t>New Challenges</t>
  </si>
  <si>
    <t>Recommendation Quotes</t>
  </si>
  <si>
    <t>New Recommendations</t>
  </si>
  <si>
    <t>C + R Quotes</t>
  </si>
  <si>
    <t>New C + R</t>
  </si>
  <si>
    <t>New C+R / C+R Quotes</t>
  </si>
  <si>
    <t>Saturation Level</t>
  </si>
  <si>
    <t>total</t>
  </si>
  <si>
    <t>Number of Interviews</t>
  </si>
  <si>
    <t>Challenge</t>
  </si>
  <si>
    <t>Recommendation</t>
  </si>
  <si>
    <t>8 - Insufficient time in the course to teach DevOps.</t>
  </si>
  <si>
    <t>9 - Teaching method based on practical activities.</t>
  </si>
  <si>
    <t>22- There is a large number of DevOps tools.
26 - It's hard to show to students that DevOps is not all about tooling.
41 - It's challeging to be up-to-date with industrial DevOps tools.</t>
  </si>
  <si>
    <t>36 - Use cloud provider services.
91 - Use relevant industry tools.</t>
  </si>
  <si>
    <t>35 - It's challeging to balance DevOps theory and practice.</t>
  </si>
  <si>
    <t>1 - Use cloud provider services with students plans.
5 - The assess should be with hands-on activity.
60 - Use Jenkins tool.
83 - Teach continuous integration and pipeline automation.</t>
  </si>
  <si>
    <t>1 - Insufficient knowledge level of students to start the course.
32 - It's challeging to deal with students having different backgrounds.</t>
  </si>
  <si>
    <t>41 - Teach the DevOps mindset.
10 - Focus more on the practical part compared to thetheoretical part of DevOps.
30 - Teach using examples.</t>
  </si>
  <si>
    <t>25 - DevOps culture is hard to teach.
30 - Teach DevOps concepts to students no industrial experience is hard.
39 - It's challeging to find the right sized examples to teach DevOps.</t>
  </si>
  <si>
    <t>BR</t>
  </si>
  <si>
    <t>Ex BR</t>
  </si>
  <si>
    <t>BR &amp; Ex BR</t>
  </si>
  <si>
    <t>BR - Ex BR</t>
  </si>
  <si>
    <t>Ex Br - BR</t>
  </si>
  <si>
    <t>All</t>
  </si>
  <si>
    <t>Challenges Quotes</t>
  </si>
  <si>
    <t>Challenges Quotes %</t>
  </si>
  <si>
    <t>Challenges</t>
  </si>
  <si>
    <t>Challenges  %</t>
  </si>
  <si>
    <t>Recommendations Quotes</t>
  </si>
  <si>
    <t>Recommendations Quotes %</t>
  </si>
  <si>
    <t>Recommendations</t>
  </si>
  <si>
    <t>Recommendations %</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</si>
</sst>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quot;$&quot;#,##0.00"/>
  </numFmts>
  <fonts count="18">
    <font>
      <sz val="10.0"/>
      <color rgb="FF000000"/>
      <name val="Arial"/>
    </font>
    <font>
      <b/>
      <sz val="14.0"/>
      <color theme="1"/>
      <name val="Arial"/>
    </font>
    <font>
      <sz val="12.0"/>
      <color theme="1"/>
      <name val="Arial"/>
    </font>
    <font>
      <sz val="12.0"/>
      <color rgb="FF000000"/>
      <name val="&quot;Arial&quot;"/>
    </font>
    <font>
      <b/>
      <sz val="12.0"/>
      <color theme="1"/>
      <name val="Arial"/>
    </font>
    <font>
      <b/>
      <sz val="12.0"/>
      <color rgb="FFFF0000"/>
      <name val="Arial"/>
    </font>
    <font>
      <b/>
      <sz val="12.0"/>
      <color rgb="FF00FF00"/>
      <name val="Arial"/>
    </font>
    <font>
      <sz val="12.0"/>
      <color rgb="FF000000"/>
      <name val="Arial"/>
    </font>
    <font>
      <color theme="1"/>
      <name val="Arial"/>
    </font>
    <font>
      <sz val="12.0"/>
      <color rgb="FFFF0000"/>
      <name val="Arial"/>
    </font>
    <font>
      <sz val="11.0"/>
      <color theme="1"/>
      <name val="Arial"/>
    </font>
    <font>
      <sz val="14.0"/>
      <color theme="1"/>
      <name val="Arial"/>
    </font>
    <font>
      <b/>
      <u/>
      <sz val="12.0"/>
      <color theme="1"/>
      <name val="Arial"/>
    </font>
    <font>
      <sz val="14.0"/>
      <color rgb="FF000000"/>
      <name val="Roboto"/>
    </font>
    <font>
      <sz val="14.0"/>
      <color rgb="FF000000"/>
      <name val="&quot;Arial&quot;"/>
    </font>
    <font>
      <i/>
      <sz val="14.0"/>
      <color theme="1"/>
      <name val="Arial"/>
    </font>
    <font>
      <sz val="14.0"/>
      <color rgb="FFFF0000"/>
      <name val="Arial"/>
    </font>
    <font>
      <b/>
      <sz val="14.0"/>
      <color rgb="FF000000"/>
      <name val="Arial"/>
    </font>
  </fonts>
  <fills count="10">
    <fill>
      <patternFill patternType="none"/>
    </fill>
    <fill>
      <patternFill patternType="lightGray"/>
    </fill>
    <fill>
      <patternFill patternType="solid">
        <fgColor rgb="FFD9D9D9"/>
        <bgColor rgb="FFD9D9D9"/>
      </patternFill>
    </fill>
    <fill>
      <patternFill patternType="solid">
        <fgColor rgb="FFCCCCCC"/>
        <bgColor rgb="FFCCCCCC"/>
      </patternFill>
    </fill>
    <fill>
      <patternFill patternType="solid">
        <fgColor rgb="FFD9EAD3"/>
        <bgColor rgb="FFD9EAD3"/>
      </patternFill>
    </fill>
    <fill>
      <patternFill patternType="solid">
        <fgColor rgb="FFFF9900"/>
        <bgColor rgb="FFFF9900"/>
      </patternFill>
    </fill>
    <fill>
      <patternFill patternType="solid">
        <fgColor rgb="FFFFF2CC"/>
        <bgColor rgb="FFFFF2CC"/>
      </patternFill>
    </fill>
    <fill>
      <patternFill patternType="solid">
        <fgColor rgb="FFFFFFFF"/>
        <bgColor rgb="FFFFFFFF"/>
      </patternFill>
    </fill>
    <fill>
      <patternFill patternType="solid">
        <fgColor rgb="FF00FF00"/>
        <bgColor rgb="FF00FF00"/>
      </patternFill>
    </fill>
    <fill>
      <patternFill patternType="solid">
        <fgColor theme="0"/>
        <bgColor theme="0"/>
      </patternFill>
    </fill>
  </fills>
  <borders count="1">
    <border/>
  </borders>
  <cellStyleXfs count="1">
    <xf borderId="0" fillId="0" fontId="0" numFmtId="0" applyAlignment="1" applyFont="1"/>
  </cellStyleXfs>
  <cellXfs count="92">
    <xf borderId="0" fillId="0" fontId="0" numFmtId="0" xfId="0" applyAlignment="1" applyFont="1">
      <alignment readingOrder="0" shrinkToFit="0" vertical="bottom" wrapText="0"/>
    </xf>
    <xf borderId="0" fillId="2" fontId="1" numFmtId="0" xfId="0" applyAlignment="1" applyFill="1" applyFont="1">
      <alignment horizontal="center" readingOrder="0" shrinkToFit="0" vertical="center" wrapText="1"/>
    </xf>
    <xf borderId="0" fillId="0" fontId="2" numFmtId="0" xfId="0" applyAlignment="1" applyFont="1">
      <alignment horizontal="center" readingOrder="0" shrinkToFit="0" vertical="center" wrapText="1"/>
    </xf>
    <xf borderId="0" fillId="0" fontId="2" numFmtId="0" xfId="0" applyAlignment="1" applyFont="1">
      <alignment readingOrder="0" shrinkToFit="0" vertical="center" wrapText="1"/>
    </xf>
    <xf borderId="0" fillId="0" fontId="3" numFmtId="0" xfId="0" applyAlignment="1" applyFont="1">
      <alignment horizontal="left" readingOrder="0" shrinkToFit="0" vertical="center" wrapText="1"/>
    </xf>
    <xf borderId="0" fillId="0" fontId="4" numFmtId="0" xfId="0" applyAlignment="1" applyFont="1">
      <alignment readingOrder="0" shrinkToFit="0" vertical="center" wrapText="1"/>
    </xf>
    <xf borderId="0" fillId="0" fontId="5" numFmtId="0" xfId="0" applyAlignment="1" applyFont="1">
      <alignment readingOrder="0" shrinkToFit="0" vertical="center" wrapText="1"/>
    </xf>
    <xf borderId="0" fillId="0" fontId="2" numFmtId="164" xfId="0" applyAlignment="1" applyFont="1" applyNumberFormat="1">
      <alignment horizontal="center" readingOrder="0" shrinkToFit="0" vertical="center" wrapText="1"/>
    </xf>
    <xf borderId="0" fillId="0" fontId="4" numFmtId="0" xfId="0" applyAlignment="1" applyFont="1">
      <alignment horizontal="center" readingOrder="0" shrinkToFit="0" vertical="center" wrapText="1"/>
    </xf>
    <xf borderId="0" fillId="0" fontId="6" numFmtId="0" xfId="0" applyAlignment="1" applyFont="1">
      <alignment readingOrder="0" shrinkToFit="0" vertical="center" wrapText="1"/>
    </xf>
    <xf borderId="0" fillId="0" fontId="5" numFmtId="0" xfId="0" applyAlignment="1" applyFont="1">
      <alignment horizontal="center" readingOrder="0" shrinkToFit="0" vertical="center" wrapText="1"/>
    </xf>
    <xf borderId="0" fillId="0" fontId="3" numFmtId="0" xfId="0" applyAlignment="1" applyFont="1">
      <alignment horizontal="center" readingOrder="0" shrinkToFit="0" vertical="center" wrapText="1"/>
    </xf>
    <xf borderId="0" fillId="0" fontId="7" numFmtId="0" xfId="0" applyAlignment="1" applyFont="1">
      <alignment horizontal="center" readingOrder="0" shrinkToFit="0" vertical="center" wrapText="1"/>
    </xf>
    <xf borderId="0" fillId="3" fontId="2" numFmtId="0" xfId="0" applyAlignment="1" applyFill="1" applyFont="1">
      <alignment horizontal="center" readingOrder="0" shrinkToFit="0" vertical="center" wrapText="1"/>
    </xf>
    <xf borderId="0" fillId="3" fontId="2" numFmtId="0" xfId="0" applyAlignment="1" applyFont="1">
      <alignment readingOrder="0" shrinkToFit="0" vertical="center" wrapText="1"/>
    </xf>
    <xf borderId="0" fillId="0" fontId="2" numFmtId="0" xfId="0" applyAlignment="1" applyFont="1">
      <alignment readingOrder="0" shrinkToFit="0" wrapText="1"/>
    </xf>
    <xf borderId="0" fillId="3" fontId="8" numFmtId="0" xfId="0" applyFont="1"/>
    <xf borderId="0" fillId="0" fontId="9" numFmtId="0" xfId="0" applyAlignment="1" applyFont="1">
      <alignment readingOrder="0" shrinkToFit="0" vertical="center" wrapText="1"/>
    </xf>
    <xf borderId="0" fillId="0" fontId="2" numFmtId="0" xfId="0" applyAlignment="1" applyFont="1">
      <alignment shrinkToFit="0" vertical="center" wrapText="1"/>
    </xf>
    <xf borderId="0" fillId="0" fontId="2" numFmtId="0" xfId="0" applyAlignment="1" applyFont="1">
      <alignment horizontal="center" shrinkToFit="0" wrapText="1"/>
    </xf>
    <xf borderId="0" fillId="0" fontId="7" numFmtId="0" xfId="0" applyAlignment="1" applyFont="1">
      <alignment horizontal="center" shrinkToFit="0" vertical="center" wrapText="1"/>
    </xf>
    <xf borderId="0" fillId="0" fontId="7" numFmtId="0" xfId="0" applyAlignment="1" applyFont="1">
      <alignment horizontal="center" readingOrder="0" shrinkToFit="0" wrapText="1"/>
    </xf>
    <xf borderId="0" fillId="0" fontId="2" numFmtId="0" xfId="0" applyAlignment="1" applyFont="1">
      <alignment horizontal="center" shrinkToFit="0" vertical="center" wrapText="1"/>
    </xf>
    <xf borderId="0" fillId="0" fontId="10" numFmtId="0" xfId="0" applyAlignment="1" applyFont="1">
      <alignment horizontal="center" readingOrder="0" shrinkToFit="0" vertical="center" wrapText="1"/>
    </xf>
    <xf borderId="0" fillId="4" fontId="2" numFmtId="0" xfId="0" applyAlignment="1" applyFill="1" applyFont="1">
      <alignment horizontal="center" readingOrder="0" shrinkToFit="0" vertical="center" wrapText="1"/>
    </xf>
    <xf borderId="0" fillId="4" fontId="7" numFmtId="0" xfId="0" applyAlignment="1" applyFont="1">
      <alignment horizontal="center" readingOrder="0" shrinkToFit="0" vertical="center" wrapText="1"/>
    </xf>
    <xf borderId="0" fillId="5" fontId="2" numFmtId="0" xfId="0" applyAlignment="1" applyFill="1" applyFont="1">
      <alignment horizontal="center" readingOrder="0" shrinkToFit="0" vertical="center" wrapText="1"/>
    </xf>
    <xf borderId="0" fillId="0" fontId="8" numFmtId="0" xfId="0" applyAlignment="1" applyFont="1">
      <alignment horizontal="center" shrinkToFit="0" vertical="center" wrapText="1"/>
    </xf>
    <xf borderId="0" fillId="0" fontId="2" numFmtId="0" xfId="0" applyAlignment="1" applyFont="1">
      <alignment horizontal="center" shrinkToFit="0" vertical="center" wrapText="1"/>
    </xf>
    <xf borderId="0" fillId="0" fontId="5" numFmtId="0" xfId="0" applyAlignment="1" applyFont="1">
      <alignment horizontal="center" readingOrder="0" shrinkToFit="0" wrapText="1"/>
    </xf>
    <xf borderId="0" fillId="0" fontId="7" numFmtId="0" xfId="0" applyAlignment="1" applyFont="1">
      <alignment horizontal="center" readingOrder="0" shrinkToFit="0" vertical="bottom" wrapText="1"/>
    </xf>
    <xf borderId="0" fillId="5" fontId="4" numFmtId="0" xfId="0" applyAlignment="1" applyFont="1">
      <alignment horizontal="center" readingOrder="0" shrinkToFit="0" vertical="center" wrapText="1"/>
    </xf>
    <xf borderId="0" fillId="6" fontId="1" numFmtId="0" xfId="0" applyAlignment="1" applyFill="1" applyFont="1">
      <alignment horizontal="center" readingOrder="0" shrinkToFit="0" vertical="center" wrapText="1"/>
    </xf>
    <xf borderId="0" fillId="0" fontId="2" numFmtId="0" xfId="0" applyAlignment="1" applyFont="1">
      <alignment horizontal="right" readingOrder="0" shrinkToFit="0" vertical="center" wrapText="1"/>
    </xf>
    <xf borderId="0" fillId="6" fontId="1" numFmtId="0" xfId="0" applyAlignment="1" applyFont="1">
      <alignment horizontal="center" shrinkToFit="0" vertical="center" wrapText="1"/>
    </xf>
    <xf borderId="0" fillId="6" fontId="11" numFmtId="0" xfId="0" applyAlignment="1" applyFont="1">
      <alignment horizontal="center" shrinkToFit="0" vertical="center" wrapText="1"/>
    </xf>
    <xf borderId="0" fillId="0" fontId="9" numFmtId="0" xfId="0" applyAlignment="1" applyFont="1">
      <alignment horizontal="right" readingOrder="0" shrinkToFit="0" vertical="center" wrapText="1"/>
    </xf>
    <xf borderId="0" fillId="6" fontId="11" numFmtId="0" xfId="0" applyAlignment="1" applyFont="1">
      <alignment horizontal="center" readingOrder="0" shrinkToFit="0" vertical="center" wrapText="1"/>
    </xf>
    <xf borderId="0" fillId="0" fontId="4" numFmtId="0" xfId="0" applyAlignment="1" applyFont="1">
      <alignment horizontal="center" shrinkToFit="0" vertical="center" wrapText="1"/>
    </xf>
    <xf borderId="0" fillId="7" fontId="2" numFmtId="0" xfId="0" applyAlignment="1" applyFill="1" applyFont="1">
      <alignment horizontal="center" shrinkToFit="0" vertical="center" wrapText="1"/>
    </xf>
    <xf borderId="0" fillId="7" fontId="2" numFmtId="0" xfId="0" applyAlignment="1" applyFont="1">
      <alignment horizontal="center" readingOrder="0" shrinkToFit="0" vertical="center" wrapText="1"/>
    </xf>
    <xf borderId="0" fillId="6" fontId="2" numFmtId="0" xfId="0" applyAlignment="1" applyFont="1">
      <alignment horizontal="center" readingOrder="0" shrinkToFit="0" vertical="center" wrapText="1"/>
    </xf>
    <xf borderId="0" fillId="0" fontId="2" numFmtId="0" xfId="0" applyAlignment="1" applyFont="1">
      <alignment horizontal="center" readingOrder="0" shrinkToFit="0" vertical="center" wrapText="1"/>
    </xf>
    <xf borderId="0" fillId="0" fontId="2" numFmtId="0" xfId="0" applyAlignment="1" applyFont="1">
      <alignment horizontal="center" vertical="center"/>
    </xf>
    <xf borderId="0" fillId="7" fontId="4" numFmtId="0" xfId="0" applyAlignment="1" applyFont="1">
      <alignment horizontal="center" readingOrder="0" shrinkToFit="0" vertical="center" wrapText="1"/>
    </xf>
    <xf borderId="0" fillId="8" fontId="11" numFmtId="0" xfId="0" applyAlignment="1" applyFill="1" applyFont="1">
      <alignment horizontal="center" readingOrder="0" shrinkToFit="0" vertical="center" wrapText="1"/>
    </xf>
    <xf borderId="0" fillId="0" fontId="2" numFmtId="0" xfId="0" applyAlignment="1" applyFont="1">
      <alignment shrinkToFit="0" vertical="center" wrapText="1"/>
    </xf>
    <xf borderId="0" fillId="2" fontId="1" numFmtId="49" xfId="0" applyAlignment="1" applyFont="1" applyNumberFormat="1">
      <alignment horizontal="center" readingOrder="0" shrinkToFit="0" vertical="center" wrapText="1"/>
    </xf>
    <xf borderId="0" fillId="0" fontId="2" numFmtId="49" xfId="0" applyAlignment="1" applyFont="1" applyNumberFormat="1">
      <alignment horizontal="center" readingOrder="0" shrinkToFit="0" vertical="center" wrapText="1"/>
    </xf>
    <xf borderId="0" fillId="0" fontId="2" numFmtId="0" xfId="0" applyAlignment="1" applyFont="1">
      <alignment vertical="center"/>
    </xf>
    <xf borderId="0" fillId="0" fontId="12" numFmtId="49" xfId="0" applyAlignment="1" applyFont="1" applyNumberFormat="1">
      <alignment horizontal="center" readingOrder="0" shrinkToFit="0" vertical="center" wrapText="1"/>
    </xf>
    <xf borderId="0" fillId="7" fontId="2" numFmtId="0" xfId="0" applyAlignment="1" applyFont="1">
      <alignment readingOrder="0" shrinkToFit="0" vertical="center" wrapText="1"/>
    </xf>
    <xf borderId="0" fillId="2" fontId="4" numFmtId="0" xfId="0" applyAlignment="1" applyFont="1">
      <alignment horizontal="center" readingOrder="0" shrinkToFit="0" vertical="center" wrapText="1"/>
    </xf>
    <xf borderId="0" fillId="6" fontId="1" numFmtId="49" xfId="0" applyAlignment="1" applyFont="1" applyNumberFormat="1">
      <alignment horizontal="center" readingOrder="0" shrinkToFit="0" vertical="center" wrapText="1"/>
    </xf>
    <xf borderId="0" fillId="0" fontId="11" numFmtId="49" xfId="0" applyAlignment="1" applyFont="1" applyNumberFormat="1">
      <alignment horizontal="center" readingOrder="0" shrinkToFit="0" vertical="center" wrapText="1"/>
    </xf>
    <xf borderId="0" fillId="0" fontId="11" numFmtId="0" xfId="0" applyAlignment="1" applyFont="1">
      <alignment horizontal="center" readingOrder="0" shrinkToFit="0" vertical="center" wrapText="1"/>
    </xf>
    <xf quotePrefix="1" borderId="0" fillId="0" fontId="11" numFmtId="0" xfId="0" applyAlignment="1" applyFont="1">
      <alignment horizontal="center" readingOrder="0" shrinkToFit="0" vertical="center" wrapText="1"/>
    </xf>
    <xf borderId="0" fillId="0" fontId="13" numFmtId="0" xfId="0" applyAlignment="1" applyFont="1">
      <alignment horizontal="center" readingOrder="0" shrinkToFit="0" vertical="center" wrapText="1"/>
    </xf>
    <xf borderId="0" fillId="0" fontId="13" numFmtId="0" xfId="0" applyAlignment="1" applyFont="1">
      <alignment horizontal="center" readingOrder="0" vertical="center"/>
    </xf>
    <xf borderId="0" fillId="0" fontId="14" numFmtId="0" xfId="0" applyAlignment="1" applyFont="1">
      <alignment horizontal="center" readingOrder="0" shrinkToFit="0" vertical="center" wrapText="1"/>
    </xf>
    <xf borderId="0" fillId="0" fontId="15" numFmtId="0" xfId="0" applyAlignment="1" applyFont="1">
      <alignment horizontal="center" readingOrder="0" shrinkToFit="0" vertical="center" wrapText="1"/>
    </xf>
    <xf borderId="0" fillId="0" fontId="2" numFmtId="0" xfId="0" applyAlignment="1" applyFont="1">
      <alignment horizontal="center" readingOrder="0" shrinkToFit="0" vertical="center" wrapText="1"/>
    </xf>
    <xf borderId="0" fillId="0" fontId="16" numFmtId="49" xfId="0" applyAlignment="1" applyFont="1" applyNumberFormat="1">
      <alignment horizontal="center" readingOrder="0" shrinkToFit="0" vertical="center" wrapText="1"/>
    </xf>
    <xf borderId="0" fillId="0" fontId="11" numFmtId="0" xfId="0" applyAlignment="1" applyFont="1">
      <alignment horizontal="center" readingOrder="0" shrinkToFit="0" vertical="center" wrapText="1"/>
    </xf>
    <xf borderId="0" fillId="0" fontId="11" numFmtId="0" xfId="0" applyAlignment="1" applyFont="1">
      <alignment horizontal="center" vertical="center"/>
    </xf>
    <xf borderId="0" fillId="0" fontId="2" numFmtId="49" xfId="0" applyAlignment="1" applyFont="1" applyNumberFormat="1">
      <alignment horizontal="center" readingOrder="0" shrinkToFit="0" vertical="center" wrapText="1"/>
    </xf>
    <xf quotePrefix="1" borderId="0" fillId="0" fontId="11" numFmtId="49" xfId="0" applyAlignment="1" applyFont="1" applyNumberFormat="1">
      <alignment horizontal="center" readingOrder="0" shrinkToFit="0" vertical="center" wrapText="1"/>
    </xf>
    <xf borderId="0" fillId="0" fontId="2" numFmtId="0" xfId="0" applyAlignment="1" applyFont="1">
      <alignment horizontal="center" vertical="center"/>
    </xf>
    <xf borderId="0" fillId="6" fontId="1" numFmtId="49" xfId="0" applyAlignment="1" applyFont="1" applyNumberFormat="1">
      <alignment horizontal="center" shrinkToFit="0" wrapText="1"/>
    </xf>
    <xf quotePrefix="1" borderId="0" fillId="0" fontId="2" numFmtId="49" xfId="0" applyAlignment="1" applyFont="1" applyNumberFormat="1">
      <alignment horizontal="center" readingOrder="0" shrinkToFit="0" vertical="center" wrapText="1"/>
    </xf>
    <xf borderId="0" fillId="9" fontId="10" numFmtId="0" xfId="0" applyAlignment="1" applyFill="1" applyFont="1">
      <alignment horizontal="center" readingOrder="0" shrinkToFit="0" vertical="center" wrapText="1"/>
    </xf>
    <xf borderId="0" fillId="0" fontId="1" numFmtId="49" xfId="0" applyAlignment="1" applyFont="1" applyNumberFormat="1">
      <alignment horizontal="center" readingOrder="0" shrinkToFit="0" vertical="center" wrapText="1"/>
    </xf>
    <xf borderId="0" fillId="0" fontId="11" numFmtId="49" xfId="0" applyAlignment="1" applyFont="1" applyNumberFormat="1">
      <alignment horizontal="center" readingOrder="0" shrinkToFit="0" vertical="center" wrapText="1"/>
    </xf>
    <xf borderId="0" fillId="0" fontId="17" numFmtId="49" xfId="0" applyAlignment="1" applyFont="1" applyNumberFormat="1">
      <alignment horizontal="center" readingOrder="0" shrinkToFit="0" vertical="center" wrapText="1"/>
    </xf>
    <xf borderId="0" fillId="0" fontId="4" numFmtId="49" xfId="0" applyAlignment="1" applyFont="1" applyNumberFormat="1">
      <alignment horizontal="center" readingOrder="0" shrinkToFit="0" vertical="center" wrapText="1"/>
    </xf>
    <xf borderId="0" fillId="9" fontId="10" numFmtId="0" xfId="0" applyAlignment="1" applyFont="1">
      <alignment horizontal="center" readingOrder="0" shrinkToFit="0" vertical="center" wrapText="1"/>
    </xf>
    <xf borderId="0" fillId="0" fontId="2" numFmtId="0" xfId="0" applyAlignment="1" applyFont="1">
      <alignment horizontal="center" shrinkToFit="0" vertical="center" wrapText="1"/>
    </xf>
    <xf borderId="0" fillId="0" fontId="4" numFmtId="49" xfId="0" applyAlignment="1" applyFont="1" applyNumberFormat="1">
      <alignment horizontal="center" readingOrder="0" shrinkToFit="0" vertical="center" wrapText="1"/>
    </xf>
    <xf borderId="0" fillId="0" fontId="4" numFmtId="0" xfId="0" applyAlignment="1" applyFont="1">
      <alignment horizontal="center" readingOrder="0" shrinkToFit="0" vertical="center" wrapText="1"/>
    </xf>
    <xf borderId="0" fillId="9" fontId="10" numFmtId="0" xfId="0" applyAlignment="1" applyFont="1">
      <alignment readingOrder="0" shrinkToFit="0" vertical="center" wrapText="1"/>
    </xf>
    <xf borderId="0" fillId="0" fontId="3" numFmtId="0" xfId="0" applyAlignment="1" applyFont="1">
      <alignment readingOrder="0" shrinkToFit="0" vertical="center" wrapText="1"/>
    </xf>
    <xf quotePrefix="1" borderId="0" fillId="0" fontId="2" numFmtId="49" xfId="0" applyAlignment="1" applyFont="1" applyNumberFormat="1">
      <alignment horizontal="center" readingOrder="0" shrinkToFit="0" vertical="center" wrapText="1"/>
    </xf>
    <xf borderId="0" fillId="9" fontId="10" numFmtId="0" xfId="0" applyAlignment="1" applyFont="1">
      <alignment shrinkToFit="0" vertical="center" wrapText="1"/>
    </xf>
    <xf borderId="0" fillId="7" fontId="7" numFmtId="0" xfId="0" applyAlignment="1" applyFont="1">
      <alignment horizontal="center" readingOrder="0" vertical="center"/>
    </xf>
    <xf borderId="0" fillId="0" fontId="2" numFmtId="49" xfId="0" applyAlignment="1" applyFont="1" applyNumberFormat="1">
      <alignment horizontal="center" shrinkToFit="0" vertical="center" wrapText="1"/>
    </xf>
    <xf borderId="0" fillId="0" fontId="11" numFmtId="0" xfId="0" applyAlignment="1" applyFont="1">
      <alignment horizontal="right" readingOrder="0" shrinkToFit="0" vertical="center" wrapText="1"/>
    </xf>
    <xf borderId="0" fillId="0" fontId="1" numFmtId="0" xfId="0" applyAlignment="1" applyFont="1">
      <alignment horizontal="right" readingOrder="0" shrinkToFit="0" vertical="center" wrapText="1"/>
    </xf>
    <xf quotePrefix="1" borderId="0" fillId="0" fontId="11" numFmtId="0" xfId="0" applyAlignment="1" applyFont="1">
      <alignment horizontal="center" readingOrder="0" shrinkToFit="0" vertical="center" wrapText="1"/>
    </xf>
    <xf borderId="0" fillId="0" fontId="11" numFmtId="10" xfId="0" applyAlignment="1" applyFont="1" applyNumberFormat="1">
      <alignment horizontal="right" readingOrder="0" shrinkToFit="0" vertical="center" wrapText="1"/>
    </xf>
    <xf borderId="0" fillId="0" fontId="11" numFmtId="9" xfId="0" applyAlignment="1" applyFont="1" applyNumberFormat="1">
      <alignment horizontal="right" readingOrder="0" shrinkToFit="0" vertical="center" wrapText="1"/>
    </xf>
    <xf borderId="0" fillId="0" fontId="1" numFmtId="10" xfId="0" applyAlignment="1" applyFont="1" applyNumberFormat="1">
      <alignment horizontal="right" readingOrder="0" shrinkToFit="0" vertical="center" wrapText="1"/>
    </xf>
    <xf borderId="0" fillId="7" fontId="17" numFmtId="0" xfId="0" applyAlignment="1" applyFont="1">
      <alignment horizontal="right" readingOrder="0"/>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5" Type="http://schemas.openxmlformats.org/officeDocument/2006/relationships/worksheet" Target="worksheets/sheet12.xml"/><Relationship Id="rId14" Type="http://schemas.openxmlformats.org/officeDocument/2006/relationships/worksheet" Target="worksheets/sheet1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lineChart>
        <c:varyColors val="0"/>
        <c:ser>
          <c:idx val="0"/>
          <c:order val="0"/>
          <c:spPr>
            <a:ln cmpd="sng">
              <a:solidFill>
                <a:srgbClr val="4285F4"/>
              </a:solidFill>
            </a:ln>
          </c:spPr>
          <c:marker>
            <c:symbol val="circle"/>
            <c:size val="10"/>
            <c:spPr>
              <a:solidFill>
                <a:srgbClr val="4285F4"/>
              </a:solidFill>
              <a:ln cmpd="sng">
                <a:solidFill>
                  <a:srgbClr val="4285F4"/>
                </a:solidFill>
              </a:ln>
            </c:spPr>
          </c:marker>
          <c:dPt>
            <c:idx val="10"/>
            <c:marker>
              <c:symbol val="none"/>
            </c:marker>
          </c:dPt>
          <c:dLbls>
            <c:numFmt formatCode="General" sourceLinked="1"/>
            <c:txPr>
              <a:bodyPr/>
              <a:lstStyle/>
              <a:p>
                <a:pPr lvl="0">
                  <a:defRPr/>
                </a:pPr>
              </a:p>
            </c:txPr>
            <c:showLegendKey val="0"/>
            <c:showVal val="1"/>
            <c:showCatName val="0"/>
            <c:showSerName val="0"/>
            <c:showPercent val="0"/>
            <c:showBubbleSize val="0"/>
          </c:dLbls>
          <c:cat>
            <c:strRef>
              <c:f>'Saturation Analysis'!$A$3:$A$15</c:f>
            </c:strRef>
          </c:cat>
          <c:val>
            <c:numRef>
              <c:f>'Saturation Analysis'!$K$3:$K$15</c:f>
              <c:numCache/>
            </c:numRef>
          </c:val>
          <c:smooth val="0"/>
        </c:ser>
        <c:axId val="801896108"/>
        <c:axId val="713376042"/>
      </c:lineChart>
      <c:catAx>
        <c:axId val="801896108"/>
        <c:scaling>
          <c:orientation val="minMax"/>
        </c:scaling>
        <c:delete val="0"/>
        <c:axPos val="b"/>
        <c:title>
          <c:tx>
            <c:rich>
              <a:bodyPr/>
              <a:lstStyle/>
              <a:p>
                <a:pPr lvl="0">
                  <a:defRPr b="1" sz="2000">
                    <a:solidFill>
                      <a:srgbClr val="000000"/>
                    </a:solidFill>
                    <a:latin typeface="+mn-lt"/>
                  </a:defRPr>
                </a:pPr>
                <a:r>
                  <a:rPr b="1" sz="2000">
                    <a:solidFill>
                      <a:srgbClr val="000000"/>
                    </a:solidFill>
                    <a:latin typeface="+mn-lt"/>
                  </a:rPr>
                  <a:t>Interview</a:t>
                </a:r>
              </a:p>
            </c:rich>
          </c:tx>
          <c:overlay val="0"/>
        </c:title>
        <c:numFmt formatCode="General" sourceLinked="1"/>
        <c:majorTickMark val="none"/>
        <c:minorTickMark val="none"/>
        <c:spPr/>
        <c:txPr>
          <a:bodyPr/>
          <a:lstStyle/>
          <a:p>
            <a:pPr lvl="0">
              <a:defRPr b="0">
                <a:solidFill>
                  <a:srgbClr val="000000"/>
                </a:solidFill>
                <a:latin typeface="+mn-lt"/>
              </a:defRPr>
            </a:pPr>
          </a:p>
        </c:txPr>
        <c:crossAx val="713376042"/>
      </c:catAx>
      <c:valAx>
        <c:axId val="713376042"/>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1" sz="2000">
                    <a:solidFill>
                      <a:srgbClr val="000000"/>
                    </a:solidFill>
                    <a:latin typeface="Arial"/>
                  </a:defRPr>
                </a:pPr>
                <a:r>
                  <a:rPr b="1" sz="2000">
                    <a:solidFill>
                      <a:srgbClr val="000000"/>
                    </a:solidFill>
                    <a:latin typeface="Arial"/>
                  </a:rPr>
                  <a:t>Saturation level</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801896108"/>
      </c:valAx>
    </c:plotArea>
    <c:legend>
      <c:legendPos val="r"/>
      <c:overlay val="0"/>
      <c:txPr>
        <a:bodyPr/>
        <a:lstStyle/>
        <a:p>
          <a:pPr lvl="0">
            <a:defRPr b="0">
              <a:solidFill>
                <a:srgbClr val="1A1A1A"/>
              </a:solidFill>
              <a:latin typeface="+mn-lt"/>
            </a:defRPr>
          </a:pPr>
        </a:p>
      </c:txPr>
    </c:legend>
    <c:plotVisOnly val="1"/>
  </c:chart>
</c:chartSpace>
</file>

<file path=xl/drawings/_rels/drawing10.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11</xdr:col>
      <xdr:colOff>628650</xdr:colOff>
      <xdr:row>1</xdr:row>
      <xdr:rowOff>38100</xdr:rowOff>
    </xdr:from>
    <xdr:ext cx="5715000" cy="3533775"/>
    <xdr:graphicFrame>
      <xdr:nvGraphicFramePr>
        <xdr:cNvPr id="1" name="Chart 1" title="Gráfico"/>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152400</xdr:colOff>
      <xdr:row>11</xdr:row>
      <xdr:rowOff>152400</xdr:rowOff>
    </xdr:from>
    <xdr:ext cx="6791325" cy="2962275"/>
    <xdr:grpSp>
      <xdr:nvGrpSpPr>
        <xdr:cNvPr id="2" name="Shape 2" title="Desenho"/>
        <xdr:cNvGrpSpPr/>
      </xdr:nvGrpSpPr>
      <xdr:grpSpPr>
        <a:xfrm>
          <a:off x="-44075" y="-82050"/>
          <a:ext cx="6825150" cy="3037950"/>
          <a:chOff x="-44075" y="-82050"/>
          <a:chExt cx="6825150" cy="3037950"/>
        </a:xfrm>
      </xdr:grpSpPr>
      <xdr:sp>
        <xdr:nvSpPr>
          <xdr:cNvPr id="3" name="Shape 3"/>
          <xdr:cNvSpPr/>
        </xdr:nvSpPr>
        <xdr:spPr>
          <a:xfrm>
            <a:off x="133450" y="796425"/>
            <a:ext cx="1449300" cy="1318500"/>
          </a:xfrm>
          <a:prstGeom prst="ellipse">
            <a:avLst/>
          </a:prstGeom>
          <a:solidFill>
            <a:srgbClr val="FF6E4A">
              <a:alpha val="51370"/>
            </a:srgbClr>
          </a:solidFill>
          <a:ln cap="flat" cmpd="sng" w="9525">
            <a:solidFill>
              <a:srgbClr val="000000"/>
            </a:solidFill>
            <a:prstDash val="solid"/>
            <a:round/>
            <a:headEnd len="sm" w="sm" type="none"/>
            <a:tailEnd len="sm" w="sm" type="none"/>
          </a:ln>
        </xdr:spPr>
        <xdr:txBody>
          <a:bodyPr anchorCtr="0" anchor="ctr" bIns="91425" lIns="91425" spcFirstLastPara="1" rIns="91425" wrap="square" tIns="91425">
            <a:noAutofit/>
          </a:bodyPr>
          <a:lstStyle/>
          <a:p>
            <a:pPr indent="0" lvl="0" marL="0" rtl="0" algn="l">
              <a:spcBef>
                <a:spcPts val="0"/>
              </a:spcBef>
              <a:spcAft>
                <a:spcPts val="0"/>
              </a:spcAft>
              <a:buNone/>
            </a:pPr>
            <a:r>
              <a:t/>
            </a:r>
            <a:endParaRPr sz="1400"/>
          </a:p>
        </xdr:txBody>
      </xdr:sp>
      <xdr:sp>
        <xdr:nvSpPr>
          <xdr:cNvPr id="4" name="Shape 4"/>
          <xdr:cNvSpPr/>
        </xdr:nvSpPr>
        <xdr:spPr>
          <a:xfrm>
            <a:off x="784775" y="530775"/>
            <a:ext cx="1843800" cy="1839300"/>
          </a:xfrm>
          <a:prstGeom prst="ellipse">
            <a:avLst/>
          </a:prstGeom>
          <a:solidFill>
            <a:srgbClr val="FFD500">
              <a:alpha val="51370"/>
            </a:srgbClr>
          </a:solidFill>
          <a:ln cap="flat" cmpd="sng" w="9525">
            <a:solidFill>
              <a:srgbClr val="000000"/>
            </a:solidFill>
            <a:prstDash val="solid"/>
            <a:round/>
            <a:headEnd len="sm" w="sm" type="none"/>
            <a:tailEnd len="sm" w="sm" type="none"/>
          </a:ln>
        </xdr:spPr>
        <xdr:txBody>
          <a:bodyPr anchorCtr="0" anchor="ctr" bIns="91425" lIns="91425" spcFirstLastPara="1" rIns="91425" wrap="square" tIns="91425">
            <a:noAutofit/>
          </a:bodyPr>
          <a:lstStyle/>
          <a:p>
            <a:pPr indent="0" lvl="0" marL="0" rtl="0" algn="l">
              <a:spcBef>
                <a:spcPts val="0"/>
              </a:spcBef>
              <a:spcAft>
                <a:spcPts val="0"/>
              </a:spcAft>
              <a:buNone/>
            </a:pPr>
            <a:r>
              <a:t/>
            </a:r>
            <a:endParaRPr sz="1400"/>
          </a:p>
        </xdr:txBody>
      </xdr:sp>
      <xdr:sp>
        <xdr:nvSpPr>
          <xdr:cNvPr id="5" name="Shape 5"/>
          <xdr:cNvSpPr txBox="1"/>
        </xdr:nvSpPr>
        <xdr:spPr>
          <a:xfrm>
            <a:off x="-44075" y="2463300"/>
            <a:ext cx="1548300" cy="492600"/>
          </a:xfrm>
          <a:prstGeom prst="rect">
            <a:avLst/>
          </a:prstGeom>
          <a:noFill/>
          <a:ln>
            <a:noFill/>
          </a:ln>
        </xdr:spPr>
        <xdr:txBody>
          <a:bodyPr anchorCtr="0" anchor="t" bIns="91425" lIns="91425" spcFirstLastPara="1" rIns="91425" wrap="square" tIns="91425">
            <a:spAutoFit/>
          </a:bodyPr>
          <a:lstStyle/>
          <a:p>
            <a:pPr indent="0" lvl="0" marL="0" rtl="0" algn="l">
              <a:spcBef>
                <a:spcPts val="0"/>
              </a:spcBef>
              <a:spcAft>
                <a:spcPts val="0"/>
              </a:spcAft>
              <a:buNone/>
            </a:pPr>
            <a:r>
              <a:rPr b="1" lang="en-US" sz="2000"/>
              <a:t>Brazil (46)</a:t>
            </a:r>
            <a:endParaRPr b="1" sz="2000"/>
          </a:p>
        </xdr:txBody>
      </xdr:sp>
      <xdr:sp>
        <xdr:nvSpPr>
          <xdr:cNvPr id="6" name="Shape 6"/>
          <xdr:cNvSpPr txBox="1"/>
        </xdr:nvSpPr>
        <xdr:spPr>
          <a:xfrm>
            <a:off x="1335400" y="2463300"/>
            <a:ext cx="1843800" cy="492600"/>
          </a:xfrm>
          <a:prstGeom prst="rect">
            <a:avLst/>
          </a:prstGeom>
          <a:noFill/>
          <a:ln>
            <a:noFill/>
          </a:ln>
        </xdr:spPr>
        <xdr:txBody>
          <a:bodyPr anchorCtr="0" anchor="t" bIns="91425" lIns="91425" spcFirstLastPara="1" rIns="91425" wrap="square" tIns="91425">
            <a:spAutoFit/>
          </a:bodyPr>
          <a:lstStyle/>
          <a:p>
            <a:pPr indent="0" lvl="0" marL="0" rtl="0" algn="l">
              <a:spcBef>
                <a:spcPts val="0"/>
              </a:spcBef>
              <a:spcAft>
                <a:spcPts val="0"/>
              </a:spcAft>
              <a:buNone/>
            </a:pPr>
            <a:r>
              <a:rPr b="1" lang="en-US" sz="2000"/>
              <a:t>Ex </a:t>
            </a:r>
            <a:r>
              <a:rPr b="1" lang="en-US" sz="2000"/>
              <a:t>Brazil (61)</a:t>
            </a:r>
            <a:endParaRPr b="1" sz="2000"/>
          </a:p>
        </xdr:txBody>
      </xdr:sp>
      <xdr:sp>
        <xdr:nvSpPr>
          <xdr:cNvPr id="7" name="Shape 7"/>
          <xdr:cNvSpPr txBox="1"/>
        </xdr:nvSpPr>
        <xdr:spPr>
          <a:xfrm>
            <a:off x="130250" y="1036725"/>
            <a:ext cx="772500" cy="800400"/>
          </a:xfrm>
          <a:prstGeom prst="rect">
            <a:avLst/>
          </a:prstGeom>
          <a:noFill/>
          <a:ln>
            <a:noFill/>
          </a:ln>
        </xdr:spPr>
        <xdr:txBody>
          <a:bodyPr anchorCtr="0" anchor="t" bIns="91425" lIns="91425" spcFirstLastPara="1" rIns="91425" wrap="square" tIns="91425">
            <a:spAutoFit/>
          </a:bodyPr>
          <a:lstStyle/>
          <a:p>
            <a:pPr indent="0" lvl="0" marL="0" rtl="0" algn="ctr">
              <a:spcBef>
                <a:spcPts val="0"/>
              </a:spcBef>
              <a:spcAft>
                <a:spcPts val="0"/>
              </a:spcAft>
              <a:buNone/>
            </a:pPr>
            <a:r>
              <a:rPr b="1" lang="en-US" sz="2000"/>
              <a:t>22</a:t>
            </a:r>
            <a:endParaRPr b="1" sz="2000"/>
          </a:p>
          <a:p>
            <a:pPr indent="0" lvl="0" marL="0" rtl="0" algn="ctr">
              <a:spcBef>
                <a:spcPts val="0"/>
              </a:spcBef>
              <a:spcAft>
                <a:spcPts val="0"/>
              </a:spcAft>
              <a:buNone/>
            </a:pPr>
            <a:r>
              <a:rPr b="1" lang="en-US" sz="2000"/>
              <a:t>26%</a:t>
            </a:r>
            <a:endParaRPr b="1" sz="2000"/>
          </a:p>
        </xdr:txBody>
      </xdr:sp>
      <xdr:sp>
        <xdr:nvSpPr>
          <xdr:cNvPr id="8" name="Shape 8"/>
          <xdr:cNvSpPr txBox="1"/>
        </xdr:nvSpPr>
        <xdr:spPr>
          <a:xfrm>
            <a:off x="1659425" y="1036725"/>
            <a:ext cx="772500" cy="800400"/>
          </a:xfrm>
          <a:prstGeom prst="rect">
            <a:avLst/>
          </a:prstGeom>
          <a:noFill/>
          <a:ln>
            <a:noFill/>
          </a:ln>
        </xdr:spPr>
        <xdr:txBody>
          <a:bodyPr anchorCtr="0" anchor="t" bIns="91425" lIns="91425" spcFirstLastPara="1" rIns="91425" wrap="square" tIns="91425">
            <a:spAutoFit/>
          </a:bodyPr>
          <a:lstStyle/>
          <a:p>
            <a:pPr indent="0" lvl="0" marL="0" rtl="0" algn="ctr">
              <a:spcBef>
                <a:spcPts val="0"/>
              </a:spcBef>
              <a:spcAft>
                <a:spcPts val="0"/>
              </a:spcAft>
              <a:buNone/>
            </a:pPr>
            <a:r>
              <a:rPr b="1" lang="en-US" sz="2000"/>
              <a:t>37</a:t>
            </a:r>
            <a:endParaRPr b="1" sz="2000"/>
          </a:p>
          <a:p>
            <a:pPr indent="0" lvl="0" marL="0" rtl="0" algn="ctr">
              <a:spcBef>
                <a:spcPts val="0"/>
              </a:spcBef>
              <a:spcAft>
                <a:spcPts val="0"/>
              </a:spcAft>
              <a:buNone/>
            </a:pPr>
            <a:r>
              <a:rPr b="1" lang="en-US" sz="2000"/>
              <a:t>45%</a:t>
            </a:r>
            <a:endParaRPr b="1" sz="2000"/>
          </a:p>
        </xdr:txBody>
      </xdr:sp>
      <xdr:sp>
        <xdr:nvSpPr>
          <xdr:cNvPr id="9" name="Shape 9"/>
          <xdr:cNvSpPr txBox="1"/>
        </xdr:nvSpPr>
        <xdr:spPr>
          <a:xfrm>
            <a:off x="768175" y="1036725"/>
            <a:ext cx="865500" cy="800400"/>
          </a:xfrm>
          <a:prstGeom prst="rect">
            <a:avLst/>
          </a:prstGeom>
          <a:noFill/>
          <a:ln>
            <a:noFill/>
          </a:ln>
        </xdr:spPr>
        <xdr:txBody>
          <a:bodyPr anchorCtr="0" anchor="t" bIns="91425" lIns="91425" spcFirstLastPara="1" rIns="91425" wrap="square" tIns="91425">
            <a:spAutoFit/>
          </a:bodyPr>
          <a:lstStyle/>
          <a:p>
            <a:pPr indent="0" lvl="0" marL="0" rtl="0" algn="ctr">
              <a:spcBef>
                <a:spcPts val="0"/>
              </a:spcBef>
              <a:spcAft>
                <a:spcPts val="0"/>
              </a:spcAft>
              <a:buNone/>
            </a:pPr>
            <a:r>
              <a:rPr b="1" lang="en-US" sz="2000"/>
              <a:t>24</a:t>
            </a:r>
            <a:endParaRPr b="1" sz="2000"/>
          </a:p>
          <a:p>
            <a:pPr indent="0" lvl="0" marL="0" rtl="0" algn="ctr">
              <a:spcBef>
                <a:spcPts val="0"/>
              </a:spcBef>
              <a:spcAft>
                <a:spcPts val="0"/>
              </a:spcAft>
              <a:buNone/>
            </a:pPr>
            <a:r>
              <a:rPr b="1" lang="en-US" sz="2000"/>
              <a:t>29%</a:t>
            </a:r>
            <a:endParaRPr b="1" sz="2000"/>
          </a:p>
        </xdr:txBody>
      </xdr:sp>
      <xdr:sp>
        <xdr:nvSpPr>
          <xdr:cNvPr id="10" name="Shape 10"/>
          <xdr:cNvSpPr txBox="1"/>
        </xdr:nvSpPr>
        <xdr:spPr>
          <a:xfrm>
            <a:off x="523200" y="-82050"/>
            <a:ext cx="1677900" cy="492600"/>
          </a:xfrm>
          <a:prstGeom prst="rect">
            <a:avLst/>
          </a:prstGeom>
          <a:noFill/>
          <a:ln>
            <a:noFill/>
          </a:ln>
        </xdr:spPr>
        <xdr:txBody>
          <a:bodyPr anchorCtr="0" anchor="t" bIns="91425" lIns="91425" spcFirstLastPara="1" rIns="91425" wrap="square" tIns="91425">
            <a:spAutoFit/>
          </a:bodyPr>
          <a:lstStyle/>
          <a:p>
            <a:pPr indent="0" lvl="0" marL="0" rtl="0" algn="ctr">
              <a:spcBef>
                <a:spcPts val="0"/>
              </a:spcBef>
              <a:spcAft>
                <a:spcPts val="0"/>
              </a:spcAft>
              <a:buNone/>
            </a:pPr>
            <a:r>
              <a:rPr b="1" lang="en-US" sz="2000"/>
              <a:t>Challenges</a:t>
            </a:r>
            <a:endParaRPr b="1" sz="2000"/>
          </a:p>
        </xdr:txBody>
      </xdr:sp>
      <xdr:sp>
        <xdr:nvSpPr>
          <xdr:cNvPr id="11" name="Shape 11"/>
          <xdr:cNvSpPr/>
        </xdr:nvSpPr>
        <xdr:spPr>
          <a:xfrm>
            <a:off x="3179200" y="495150"/>
            <a:ext cx="2081700" cy="1839300"/>
          </a:xfrm>
          <a:prstGeom prst="ellipse">
            <a:avLst/>
          </a:prstGeom>
          <a:solidFill>
            <a:srgbClr val="FF0000"/>
          </a:solidFill>
          <a:ln cap="flat" cmpd="sng" w="9525">
            <a:solidFill>
              <a:srgbClr val="000000"/>
            </a:solidFill>
            <a:prstDash val="solid"/>
            <a:round/>
            <a:headEnd len="sm" w="sm" type="none"/>
            <a:tailEnd len="sm" w="sm" type="none"/>
          </a:ln>
        </xdr:spPr>
        <xdr:txBody>
          <a:bodyPr anchorCtr="0" anchor="ctr" bIns="91425" lIns="91425" spcFirstLastPara="1" rIns="91425" wrap="square" tIns="91425">
            <a:noAutofit/>
          </a:bodyPr>
          <a:lstStyle/>
          <a:p>
            <a:pPr indent="0" lvl="0" marL="0" rtl="0" algn="l">
              <a:spcBef>
                <a:spcPts val="0"/>
              </a:spcBef>
              <a:spcAft>
                <a:spcPts val="0"/>
              </a:spcAft>
              <a:buNone/>
            </a:pPr>
            <a:r>
              <a:t/>
            </a:r>
            <a:endParaRPr sz="1400"/>
          </a:p>
        </xdr:txBody>
      </xdr:sp>
      <xdr:sp>
        <xdr:nvSpPr>
          <xdr:cNvPr id="12" name="Shape 12"/>
          <xdr:cNvSpPr/>
        </xdr:nvSpPr>
        <xdr:spPr>
          <a:xfrm>
            <a:off x="4509600" y="418950"/>
            <a:ext cx="2237100" cy="2011500"/>
          </a:xfrm>
          <a:prstGeom prst="ellipse">
            <a:avLst/>
          </a:prstGeom>
          <a:solidFill>
            <a:srgbClr val="0000FF">
              <a:alpha val="51560"/>
            </a:srgbClr>
          </a:solidFill>
          <a:ln cap="flat" cmpd="sng" w="9525">
            <a:solidFill>
              <a:srgbClr val="000000"/>
            </a:solidFill>
            <a:prstDash val="solid"/>
            <a:round/>
            <a:headEnd len="sm" w="sm" type="none"/>
            <a:tailEnd len="sm" w="sm" type="none"/>
          </a:ln>
        </xdr:spPr>
        <xdr:txBody>
          <a:bodyPr anchorCtr="0" anchor="ctr" bIns="91425" lIns="91425" spcFirstLastPara="1" rIns="91425" wrap="square" tIns="91425">
            <a:noAutofit/>
          </a:bodyPr>
          <a:lstStyle/>
          <a:p>
            <a:pPr indent="0" lvl="0" marL="0" rtl="0" algn="l">
              <a:spcBef>
                <a:spcPts val="0"/>
              </a:spcBef>
              <a:spcAft>
                <a:spcPts val="0"/>
              </a:spcAft>
              <a:buNone/>
            </a:pPr>
            <a:r>
              <a:t/>
            </a:r>
            <a:endParaRPr sz="1400"/>
          </a:p>
        </xdr:txBody>
      </xdr:sp>
      <xdr:sp>
        <xdr:nvSpPr>
          <xdr:cNvPr id="13" name="Shape 13"/>
          <xdr:cNvSpPr txBox="1"/>
        </xdr:nvSpPr>
        <xdr:spPr>
          <a:xfrm>
            <a:off x="3255400" y="2463300"/>
            <a:ext cx="1802100" cy="492600"/>
          </a:xfrm>
          <a:prstGeom prst="rect">
            <a:avLst/>
          </a:prstGeom>
          <a:noFill/>
          <a:ln>
            <a:noFill/>
          </a:ln>
        </xdr:spPr>
        <xdr:txBody>
          <a:bodyPr anchorCtr="0" anchor="t" bIns="91425" lIns="91425" spcFirstLastPara="1" rIns="91425" wrap="square" tIns="91425">
            <a:spAutoFit/>
          </a:bodyPr>
          <a:lstStyle/>
          <a:p>
            <a:pPr indent="0" lvl="0" marL="0" rtl="0" algn="l">
              <a:spcBef>
                <a:spcPts val="0"/>
              </a:spcBef>
              <a:spcAft>
                <a:spcPts val="0"/>
              </a:spcAft>
              <a:buNone/>
            </a:pPr>
            <a:r>
              <a:rPr b="1" lang="en-US" sz="2000"/>
              <a:t>Brazil (101)</a:t>
            </a:r>
            <a:endParaRPr b="1" sz="2000"/>
          </a:p>
        </xdr:txBody>
      </xdr:sp>
      <xdr:sp>
        <xdr:nvSpPr>
          <xdr:cNvPr id="14" name="Shape 14"/>
          <xdr:cNvSpPr txBox="1"/>
        </xdr:nvSpPr>
        <xdr:spPr>
          <a:xfrm>
            <a:off x="4863475" y="2463300"/>
            <a:ext cx="1917600" cy="492600"/>
          </a:xfrm>
          <a:prstGeom prst="rect">
            <a:avLst/>
          </a:prstGeom>
          <a:noFill/>
          <a:ln>
            <a:noFill/>
          </a:ln>
        </xdr:spPr>
        <xdr:txBody>
          <a:bodyPr anchorCtr="0" anchor="t" bIns="91425" lIns="91425" spcFirstLastPara="1" rIns="91425" wrap="square" tIns="91425">
            <a:spAutoFit/>
          </a:bodyPr>
          <a:lstStyle/>
          <a:p>
            <a:pPr indent="0" lvl="0" marL="0" rtl="0" algn="l">
              <a:spcBef>
                <a:spcPts val="0"/>
              </a:spcBef>
              <a:spcAft>
                <a:spcPts val="0"/>
              </a:spcAft>
              <a:buNone/>
            </a:pPr>
            <a:r>
              <a:rPr b="1" lang="en-US" sz="2000"/>
              <a:t>Ex Brazil (115)</a:t>
            </a:r>
            <a:endParaRPr b="1" sz="2000"/>
          </a:p>
        </xdr:txBody>
      </xdr:sp>
      <xdr:sp>
        <xdr:nvSpPr>
          <xdr:cNvPr id="15" name="Shape 15"/>
          <xdr:cNvSpPr txBox="1"/>
        </xdr:nvSpPr>
        <xdr:spPr>
          <a:xfrm>
            <a:off x="3511100" y="1019025"/>
            <a:ext cx="814200" cy="800400"/>
          </a:xfrm>
          <a:prstGeom prst="rect">
            <a:avLst/>
          </a:prstGeom>
          <a:noFill/>
          <a:ln>
            <a:noFill/>
          </a:ln>
        </xdr:spPr>
        <xdr:txBody>
          <a:bodyPr anchorCtr="0" anchor="t" bIns="91425" lIns="91425" spcFirstLastPara="1" rIns="91425" wrap="square" tIns="91425">
            <a:spAutoFit/>
          </a:bodyPr>
          <a:lstStyle/>
          <a:p>
            <a:pPr indent="0" lvl="0" marL="0" rtl="0" algn="ctr">
              <a:spcBef>
                <a:spcPts val="0"/>
              </a:spcBef>
              <a:spcAft>
                <a:spcPts val="0"/>
              </a:spcAft>
              <a:buNone/>
            </a:pPr>
            <a:r>
              <a:rPr b="1" lang="en-US" sz="2000"/>
              <a:t>70</a:t>
            </a:r>
            <a:endParaRPr b="1" sz="2000"/>
          </a:p>
          <a:p>
            <a:pPr indent="0" lvl="0" marL="0" rtl="0" algn="ctr">
              <a:spcBef>
                <a:spcPts val="0"/>
              </a:spcBef>
              <a:spcAft>
                <a:spcPts val="0"/>
              </a:spcAft>
              <a:buNone/>
            </a:pPr>
            <a:r>
              <a:rPr b="1" lang="en-US" sz="2000"/>
              <a:t>38%</a:t>
            </a:r>
            <a:endParaRPr b="1" sz="2000"/>
          </a:p>
        </xdr:txBody>
      </xdr:sp>
      <xdr:sp>
        <xdr:nvSpPr>
          <xdr:cNvPr id="16" name="Shape 16"/>
          <xdr:cNvSpPr txBox="1"/>
        </xdr:nvSpPr>
        <xdr:spPr>
          <a:xfrm>
            <a:off x="5568500" y="1019025"/>
            <a:ext cx="738900" cy="800400"/>
          </a:xfrm>
          <a:prstGeom prst="rect">
            <a:avLst/>
          </a:prstGeom>
          <a:noFill/>
          <a:ln>
            <a:noFill/>
          </a:ln>
        </xdr:spPr>
        <xdr:txBody>
          <a:bodyPr anchorCtr="0" anchor="t" bIns="91425" lIns="91425" spcFirstLastPara="1" rIns="91425" wrap="square" tIns="91425">
            <a:spAutoFit/>
          </a:bodyPr>
          <a:lstStyle/>
          <a:p>
            <a:pPr indent="0" lvl="0" marL="0" rtl="0" algn="ctr">
              <a:spcBef>
                <a:spcPts val="0"/>
              </a:spcBef>
              <a:spcAft>
                <a:spcPts val="0"/>
              </a:spcAft>
              <a:buNone/>
            </a:pPr>
            <a:r>
              <a:rPr b="1" lang="en-US" sz="2000"/>
              <a:t>84</a:t>
            </a:r>
            <a:endParaRPr b="1" sz="2000"/>
          </a:p>
          <a:p>
            <a:pPr indent="0" lvl="0" marL="0" rtl="0" algn="ctr">
              <a:spcBef>
                <a:spcPts val="0"/>
              </a:spcBef>
              <a:spcAft>
                <a:spcPts val="0"/>
              </a:spcAft>
              <a:buNone/>
            </a:pPr>
            <a:r>
              <a:rPr b="1" lang="en-US" sz="2000"/>
              <a:t>45%</a:t>
            </a:r>
            <a:endParaRPr b="1" sz="2000"/>
          </a:p>
        </xdr:txBody>
      </xdr:sp>
      <xdr:sp>
        <xdr:nvSpPr>
          <xdr:cNvPr id="17" name="Shape 17"/>
          <xdr:cNvSpPr txBox="1"/>
        </xdr:nvSpPr>
        <xdr:spPr>
          <a:xfrm>
            <a:off x="4533788" y="1019025"/>
            <a:ext cx="738900" cy="800400"/>
          </a:xfrm>
          <a:prstGeom prst="rect">
            <a:avLst/>
          </a:prstGeom>
          <a:noFill/>
          <a:ln>
            <a:noFill/>
          </a:ln>
        </xdr:spPr>
        <xdr:txBody>
          <a:bodyPr anchorCtr="0" anchor="t" bIns="91425" lIns="91425" spcFirstLastPara="1" rIns="91425" wrap="square" tIns="91425">
            <a:spAutoFit/>
          </a:bodyPr>
          <a:lstStyle/>
          <a:p>
            <a:pPr indent="0" lvl="0" marL="0" rtl="0" algn="ctr">
              <a:spcBef>
                <a:spcPts val="0"/>
              </a:spcBef>
              <a:spcAft>
                <a:spcPts val="0"/>
              </a:spcAft>
              <a:buNone/>
            </a:pPr>
            <a:r>
              <a:rPr b="1" lang="en-US" sz="2000"/>
              <a:t>31</a:t>
            </a:r>
            <a:endParaRPr b="1" sz="2000"/>
          </a:p>
          <a:p>
            <a:pPr indent="0" lvl="0" marL="0" rtl="0" algn="ctr">
              <a:spcBef>
                <a:spcPts val="0"/>
              </a:spcBef>
              <a:spcAft>
                <a:spcPts val="0"/>
              </a:spcAft>
              <a:buNone/>
            </a:pPr>
            <a:r>
              <a:rPr b="1" lang="en-US" sz="2000"/>
              <a:t>17%</a:t>
            </a:r>
            <a:endParaRPr b="1" sz="2000"/>
          </a:p>
        </xdr:txBody>
      </xdr:sp>
      <xdr:sp>
        <xdr:nvSpPr>
          <xdr:cNvPr id="18" name="Shape 18"/>
          <xdr:cNvSpPr txBox="1"/>
        </xdr:nvSpPr>
        <xdr:spPr>
          <a:xfrm>
            <a:off x="3731750" y="-75975"/>
            <a:ext cx="2525700" cy="492600"/>
          </a:xfrm>
          <a:prstGeom prst="rect">
            <a:avLst/>
          </a:prstGeom>
          <a:noFill/>
          <a:ln>
            <a:noFill/>
          </a:ln>
        </xdr:spPr>
        <xdr:txBody>
          <a:bodyPr anchorCtr="0" anchor="t" bIns="91425" lIns="91425" spcFirstLastPara="1" rIns="91425" wrap="square" tIns="91425">
            <a:spAutoFit/>
          </a:bodyPr>
          <a:lstStyle/>
          <a:p>
            <a:pPr indent="0" lvl="0" marL="0" rtl="0" algn="l">
              <a:spcBef>
                <a:spcPts val="0"/>
              </a:spcBef>
              <a:spcAft>
                <a:spcPts val="0"/>
              </a:spcAft>
              <a:buNone/>
            </a:pPr>
            <a:r>
              <a:rPr b="1" lang="en-US" sz="2000"/>
              <a:t>Recommendations</a:t>
            </a:r>
            <a:endParaRPr b="1" sz="2000"/>
          </a:p>
        </xdr:txBody>
      </xdr:sp>
    </xdr:grpSp>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3.xml"/><Relationship Id="rId3"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3.0" ySplit="1.0" topLeftCell="D2" activePane="bottomRight" state="frozen"/>
      <selection activeCell="D1" sqref="D1" pane="topRight"/>
      <selection activeCell="A2" sqref="A2" pane="bottomLeft"/>
      <selection activeCell="D2" sqref="D2" pane="bottomRight"/>
    </sheetView>
  </sheetViews>
  <sheetFormatPr customHeight="1" defaultColWidth="14.43" defaultRowHeight="15.75"/>
  <cols>
    <col customWidth="1" min="1" max="1" width="12.71"/>
    <col customWidth="1" min="2" max="2" width="14.29"/>
    <col customWidth="1" min="3" max="3" width="22.57"/>
    <col customWidth="1" min="4" max="4" width="24.57"/>
    <col customWidth="1" min="5" max="5" width="64.71"/>
    <col customWidth="1" min="6" max="6" width="48.86"/>
    <col customWidth="1" min="7" max="7" width="20.14"/>
  </cols>
  <sheetData>
    <row r="1">
      <c r="A1" s="1" t="s">
        <v>0</v>
      </c>
      <c r="B1" s="1" t="s">
        <v>1</v>
      </c>
      <c r="C1" s="1" t="s">
        <v>2</v>
      </c>
      <c r="D1" s="1" t="s">
        <v>3</v>
      </c>
      <c r="E1" s="1" t="s">
        <v>4</v>
      </c>
      <c r="F1" s="1" t="s">
        <v>5</v>
      </c>
      <c r="G1" s="1" t="s">
        <v>6</v>
      </c>
    </row>
    <row r="2" ht="96.0" customHeight="1">
      <c r="A2" s="2">
        <v>1.0</v>
      </c>
      <c r="B2" s="2">
        <v>1.0</v>
      </c>
      <c r="C2" s="2" t="s">
        <v>7</v>
      </c>
      <c r="D2" s="2" t="s">
        <v>8</v>
      </c>
      <c r="E2" s="2" t="s">
        <v>9</v>
      </c>
      <c r="F2" s="3" t="s">
        <v>10</v>
      </c>
      <c r="G2" s="3"/>
    </row>
    <row r="3" ht="115.5" customHeight="1">
      <c r="A3" s="2">
        <v>1.0</v>
      </c>
      <c r="B3" s="2">
        <v>1.0</v>
      </c>
      <c r="C3" s="2" t="s">
        <v>7</v>
      </c>
      <c r="D3" s="2" t="s">
        <v>8</v>
      </c>
      <c r="E3" s="2" t="s">
        <v>11</v>
      </c>
      <c r="F3" s="3" t="s">
        <v>12</v>
      </c>
      <c r="G3" s="3"/>
    </row>
    <row r="4" ht="115.5" customHeight="1">
      <c r="A4" s="2">
        <v>1.0</v>
      </c>
      <c r="B4" s="2">
        <v>3.0</v>
      </c>
      <c r="C4" s="2" t="s">
        <v>7</v>
      </c>
      <c r="D4" s="2" t="s">
        <v>8</v>
      </c>
      <c r="E4" s="2" t="s">
        <v>13</v>
      </c>
      <c r="F4" s="3" t="s">
        <v>14</v>
      </c>
      <c r="G4" s="3"/>
    </row>
    <row r="5" ht="134.25" customHeight="1">
      <c r="A5" s="2">
        <v>1.0</v>
      </c>
      <c r="B5" s="2">
        <v>3.0</v>
      </c>
      <c r="C5" s="2" t="s">
        <v>7</v>
      </c>
      <c r="D5" s="2" t="s">
        <v>8</v>
      </c>
      <c r="E5" s="2" t="s">
        <v>15</v>
      </c>
      <c r="F5" s="3" t="s">
        <v>16</v>
      </c>
      <c r="G5" s="3"/>
    </row>
    <row r="6" ht="221.25" customHeight="1">
      <c r="A6" s="2">
        <v>1.0</v>
      </c>
      <c r="B6" s="2">
        <v>3.0</v>
      </c>
      <c r="C6" s="2" t="s">
        <v>7</v>
      </c>
      <c r="D6" s="2" t="s">
        <v>8</v>
      </c>
      <c r="E6" s="2" t="s">
        <v>17</v>
      </c>
      <c r="F6" s="3" t="s">
        <v>18</v>
      </c>
      <c r="G6" s="3"/>
    </row>
    <row r="7" ht="134.25" customHeight="1">
      <c r="A7" s="2">
        <v>1.0</v>
      </c>
      <c r="B7" s="2">
        <v>3.0</v>
      </c>
      <c r="C7" s="2" t="s">
        <v>7</v>
      </c>
      <c r="D7" s="2" t="s">
        <v>19</v>
      </c>
      <c r="E7" s="2" t="s">
        <v>20</v>
      </c>
      <c r="F7" s="3" t="s">
        <v>21</v>
      </c>
      <c r="G7" s="3"/>
    </row>
    <row r="8" ht="134.25" customHeight="1">
      <c r="A8" s="2">
        <v>1.0</v>
      </c>
      <c r="B8" s="2">
        <v>4.0</v>
      </c>
      <c r="C8" s="2" t="s">
        <v>7</v>
      </c>
      <c r="D8" s="2" t="s">
        <v>19</v>
      </c>
      <c r="E8" s="2" t="s">
        <v>22</v>
      </c>
      <c r="F8" s="3" t="s">
        <v>23</v>
      </c>
      <c r="G8" s="3"/>
    </row>
    <row r="9" ht="123.75" customHeight="1">
      <c r="A9" s="2">
        <v>1.0</v>
      </c>
      <c r="B9" s="2">
        <v>4.0</v>
      </c>
      <c r="C9" s="2" t="s">
        <v>7</v>
      </c>
      <c r="D9" s="2" t="s">
        <v>19</v>
      </c>
      <c r="E9" s="2" t="s">
        <v>24</v>
      </c>
      <c r="F9" s="3" t="s">
        <v>25</v>
      </c>
      <c r="G9" s="3"/>
    </row>
    <row r="10" ht="123.75" customHeight="1">
      <c r="A10" s="2">
        <v>1.0</v>
      </c>
      <c r="B10" s="2">
        <v>4.0</v>
      </c>
      <c r="C10" s="2" t="s">
        <v>7</v>
      </c>
      <c r="D10" s="2" t="s">
        <v>19</v>
      </c>
      <c r="E10" s="2" t="s">
        <v>26</v>
      </c>
      <c r="F10" s="3" t="s">
        <v>27</v>
      </c>
      <c r="G10" s="3"/>
    </row>
    <row r="11" ht="123.75" customHeight="1">
      <c r="A11" s="2">
        <v>1.0</v>
      </c>
      <c r="B11" s="2">
        <v>6.0</v>
      </c>
      <c r="C11" s="2" t="s">
        <v>28</v>
      </c>
      <c r="D11" s="2" t="s">
        <v>8</v>
      </c>
      <c r="E11" s="2" t="s">
        <v>29</v>
      </c>
      <c r="F11" s="4" t="s">
        <v>30</v>
      </c>
      <c r="G11" s="3"/>
    </row>
    <row r="12">
      <c r="A12" s="2">
        <v>1.0</v>
      </c>
      <c r="B12" s="2">
        <v>7.0</v>
      </c>
      <c r="C12" s="2" t="s">
        <v>28</v>
      </c>
      <c r="D12" s="2" t="s">
        <v>19</v>
      </c>
      <c r="E12" s="2" t="s">
        <v>31</v>
      </c>
      <c r="F12" s="5" t="s">
        <v>32</v>
      </c>
      <c r="G12" s="3"/>
    </row>
    <row r="13">
      <c r="A13" s="2">
        <v>1.0</v>
      </c>
      <c r="B13" s="2">
        <v>9.0</v>
      </c>
      <c r="C13" s="2" t="s">
        <v>33</v>
      </c>
      <c r="D13" s="2" t="s">
        <v>19</v>
      </c>
      <c r="E13" s="2" t="s">
        <v>34</v>
      </c>
      <c r="F13" s="3" t="s">
        <v>35</v>
      </c>
      <c r="G13" s="3"/>
    </row>
    <row r="14">
      <c r="A14" s="2">
        <v>1.0</v>
      </c>
      <c r="B14" s="2">
        <v>9.0</v>
      </c>
      <c r="C14" s="2" t="s">
        <v>33</v>
      </c>
      <c r="D14" s="2" t="s">
        <v>19</v>
      </c>
      <c r="E14" s="2" t="s">
        <v>36</v>
      </c>
      <c r="F14" s="3" t="s">
        <v>37</v>
      </c>
      <c r="G14" s="3"/>
    </row>
    <row r="15">
      <c r="A15" s="2">
        <v>1.0</v>
      </c>
      <c r="B15" s="2">
        <v>9.0</v>
      </c>
      <c r="C15" s="2" t="s">
        <v>33</v>
      </c>
      <c r="D15" s="2" t="s">
        <v>19</v>
      </c>
      <c r="E15" s="2" t="s">
        <v>38</v>
      </c>
      <c r="F15" s="3" t="s">
        <v>39</v>
      </c>
      <c r="G15" s="3"/>
    </row>
    <row r="16">
      <c r="A16" s="2">
        <v>1.0</v>
      </c>
      <c r="B16" s="2">
        <v>10.0</v>
      </c>
      <c r="C16" s="2" t="s">
        <v>40</v>
      </c>
      <c r="D16" s="2" t="s">
        <v>19</v>
      </c>
      <c r="E16" s="2" t="s">
        <v>41</v>
      </c>
      <c r="F16" s="6" t="s">
        <v>42</v>
      </c>
      <c r="G16" s="3"/>
    </row>
    <row r="17">
      <c r="A17" s="2">
        <v>1.0</v>
      </c>
      <c r="B17" s="2">
        <v>10.0</v>
      </c>
      <c r="C17" s="2" t="s">
        <v>40</v>
      </c>
      <c r="D17" s="2" t="s">
        <v>8</v>
      </c>
      <c r="E17" s="2" t="s">
        <v>43</v>
      </c>
      <c r="F17" s="5" t="s">
        <v>44</v>
      </c>
      <c r="G17" s="3"/>
    </row>
    <row r="18">
      <c r="A18" s="2">
        <v>1.0</v>
      </c>
      <c r="B18" s="2">
        <v>10.0</v>
      </c>
      <c r="C18" s="2" t="s">
        <v>40</v>
      </c>
      <c r="D18" s="2" t="s">
        <v>19</v>
      </c>
      <c r="E18" s="2" t="s">
        <v>45</v>
      </c>
      <c r="F18" s="5" t="s">
        <v>46</v>
      </c>
      <c r="G18" s="3"/>
    </row>
    <row r="19">
      <c r="A19" s="2">
        <v>1.0</v>
      </c>
      <c r="B19" s="2">
        <v>12.0</v>
      </c>
      <c r="C19" s="2" t="s">
        <v>47</v>
      </c>
      <c r="D19" s="2" t="s">
        <v>19</v>
      </c>
      <c r="E19" s="2" t="s">
        <v>48</v>
      </c>
      <c r="F19" s="3" t="s">
        <v>49</v>
      </c>
      <c r="G19" s="3"/>
    </row>
    <row r="20">
      <c r="A20" s="2">
        <v>1.0</v>
      </c>
      <c r="B20" s="2">
        <v>12.0</v>
      </c>
      <c r="C20" s="2" t="s">
        <v>47</v>
      </c>
      <c r="D20" s="2" t="s">
        <v>19</v>
      </c>
      <c r="E20" s="2" t="s">
        <v>50</v>
      </c>
      <c r="F20" s="3" t="s">
        <v>51</v>
      </c>
      <c r="G20" s="3"/>
    </row>
    <row r="21">
      <c r="A21" s="2">
        <v>1.0</v>
      </c>
      <c r="B21" s="2">
        <v>12.0</v>
      </c>
      <c r="C21" s="2" t="s">
        <v>47</v>
      </c>
      <c r="D21" s="2" t="s">
        <v>19</v>
      </c>
      <c r="E21" s="2" t="s">
        <v>52</v>
      </c>
      <c r="F21" s="3" t="s">
        <v>53</v>
      </c>
      <c r="G21" s="3"/>
    </row>
    <row r="22">
      <c r="A22" s="2">
        <v>1.0</v>
      </c>
      <c r="B22" s="2">
        <v>13.0</v>
      </c>
      <c r="C22" s="2" t="s">
        <v>54</v>
      </c>
      <c r="D22" s="2" t="s">
        <v>8</v>
      </c>
      <c r="E22" s="2" t="s">
        <v>55</v>
      </c>
      <c r="F22" s="5" t="s">
        <v>56</v>
      </c>
      <c r="G22" s="3"/>
    </row>
    <row r="23">
      <c r="A23" s="2">
        <v>1.0</v>
      </c>
      <c r="B23" s="2">
        <v>15.0</v>
      </c>
      <c r="C23" s="2" t="s">
        <v>54</v>
      </c>
      <c r="D23" s="2" t="s">
        <v>19</v>
      </c>
      <c r="E23" s="2" t="s">
        <v>57</v>
      </c>
      <c r="F23" s="3" t="s">
        <v>58</v>
      </c>
      <c r="G23" s="3"/>
    </row>
    <row r="24">
      <c r="A24" s="2">
        <v>1.0</v>
      </c>
      <c r="B24" s="2">
        <v>16.0</v>
      </c>
      <c r="C24" s="2" t="s">
        <v>59</v>
      </c>
      <c r="D24" s="2" t="s">
        <v>8</v>
      </c>
      <c r="E24" s="2" t="s">
        <v>60</v>
      </c>
      <c r="F24" s="3" t="s">
        <v>61</v>
      </c>
      <c r="G24" s="3"/>
    </row>
    <row r="25">
      <c r="A25" s="2">
        <v>1.0</v>
      </c>
      <c r="B25" s="2">
        <v>16.0</v>
      </c>
      <c r="C25" s="2" t="s">
        <v>59</v>
      </c>
      <c r="D25" s="2" t="s">
        <v>8</v>
      </c>
      <c r="E25" s="7" t="s">
        <v>62</v>
      </c>
      <c r="F25" s="5" t="s">
        <v>63</v>
      </c>
      <c r="G25" s="3"/>
    </row>
    <row r="26">
      <c r="A26" s="2">
        <v>1.0</v>
      </c>
      <c r="B26" s="2">
        <v>16.0</v>
      </c>
      <c r="C26" s="2" t="s">
        <v>59</v>
      </c>
      <c r="D26" s="2" t="s">
        <v>8</v>
      </c>
      <c r="E26" s="2" t="s">
        <v>64</v>
      </c>
      <c r="F26" s="3" t="s">
        <v>65</v>
      </c>
      <c r="G26" s="3"/>
    </row>
    <row r="27">
      <c r="A27" s="2">
        <v>1.0</v>
      </c>
      <c r="B27" s="2">
        <v>16.0</v>
      </c>
      <c r="C27" s="2" t="s">
        <v>59</v>
      </c>
      <c r="D27" s="2" t="s">
        <v>8</v>
      </c>
      <c r="E27" s="2" t="s">
        <v>66</v>
      </c>
      <c r="F27" s="3" t="s">
        <v>67</v>
      </c>
      <c r="G27" s="3"/>
    </row>
    <row r="28" ht="18.0" customHeight="1">
      <c r="A28" s="2"/>
      <c r="B28" s="2"/>
      <c r="C28" s="2"/>
      <c r="D28" s="2"/>
      <c r="E28" s="2"/>
      <c r="F28" s="3"/>
      <c r="G28" s="3"/>
    </row>
    <row r="29">
      <c r="A29" s="2">
        <v>2.0</v>
      </c>
      <c r="B29" s="2">
        <v>1.0</v>
      </c>
      <c r="C29" s="2" t="s">
        <v>28</v>
      </c>
      <c r="D29" s="2" t="s">
        <v>19</v>
      </c>
      <c r="E29" s="2" t="s">
        <v>68</v>
      </c>
      <c r="F29" s="3" t="s">
        <v>69</v>
      </c>
      <c r="G29" s="3"/>
    </row>
    <row r="30">
      <c r="A30" s="2">
        <v>2.0</v>
      </c>
      <c r="B30" s="2">
        <v>1.0</v>
      </c>
      <c r="C30" s="2" t="s">
        <v>28</v>
      </c>
      <c r="D30" s="2" t="s">
        <v>8</v>
      </c>
      <c r="E30" s="2" t="s">
        <v>70</v>
      </c>
      <c r="F30" s="3" t="s">
        <v>71</v>
      </c>
      <c r="G30" s="3"/>
    </row>
    <row r="31">
      <c r="A31" s="2"/>
      <c r="B31" s="2"/>
      <c r="C31" s="2"/>
      <c r="D31" s="2"/>
      <c r="E31" s="2"/>
      <c r="F31" s="3"/>
      <c r="G31" s="3"/>
    </row>
    <row r="32">
      <c r="A32" s="2">
        <v>2.0</v>
      </c>
      <c r="B32" s="2">
        <v>3.0</v>
      </c>
      <c r="C32" s="2" t="s">
        <v>72</v>
      </c>
      <c r="D32" s="2" t="s">
        <v>19</v>
      </c>
      <c r="E32" s="2" t="s">
        <v>73</v>
      </c>
      <c r="F32" s="3" t="s">
        <v>74</v>
      </c>
      <c r="G32" s="3"/>
    </row>
    <row r="33">
      <c r="A33" s="2">
        <v>2.0</v>
      </c>
      <c r="B33" s="2">
        <v>3.0</v>
      </c>
      <c r="C33" s="2" t="s">
        <v>72</v>
      </c>
      <c r="D33" s="2" t="s">
        <v>19</v>
      </c>
      <c r="E33" s="2" t="s">
        <v>75</v>
      </c>
      <c r="F33" s="3" t="s">
        <v>76</v>
      </c>
      <c r="G33" s="3"/>
    </row>
    <row r="34">
      <c r="A34" s="2">
        <v>2.0</v>
      </c>
      <c r="B34" s="2">
        <v>3.0</v>
      </c>
      <c r="C34" s="2" t="s">
        <v>72</v>
      </c>
      <c r="D34" s="2" t="s">
        <v>8</v>
      </c>
      <c r="E34" s="2" t="s">
        <v>77</v>
      </c>
      <c r="F34" s="3" t="s">
        <v>78</v>
      </c>
      <c r="G34" s="3"/>
    </row>
    <row r="35">
      <c r="A35" s="2">
        <v>2.0</v>
      </c>
      <c r="B35" s="2">
        <v>4.0</v>
      </c>
      <c r="C35" s="2" t="s">
        <v>72</v>
      </c>
      <c r="D35" s="2" t="s">
        <v>19</v>
      </c>
      <c r="E35" s="2" t="s">
        <v>79</v>
      </c>
      <c r="F35" s="3" t="s">
        <v>80</v>
      </c>
      <c r="G35" s="3"/>
    </row>
    <row r="36">
      <c r="A36" s="2">
        <v>2.0</v>
      </c>
      <c r="B36" s="2">
        <v>4.0</v>
      </c>
      <c r="C36" s="2" t="s">
        <v>72</v>
      </c>
      <c r="D36" s="2" t="s">
        <v>8</v>
      </c>
      <c r="E36" s="2" t="s">
        <v>81</v>
      </c>
      <c r="F36" s="3" t="s">
        <v>82</v>
      </c>
      <c r="G36" s="3"/>
    </row>
    <row r="37">
      <c r="A37" s="2">
        <v>2.0</v>
      </c>
      <c r="B37" s="2">
        <v>4.0</v>
      </c>
      <c r="C37" s="2" t="s">
        <v>72</v>
      </c>
      <c r="D37" s="2" t="s">
        <v>19</v>
      </c>
      <c r="E37" s="2" t="s">
        <v>83</v>
      </c>
      <c r="F37" s="3" t="s">
        <v>84</v>
      </c>
      <c r="G37" s="3"/>
    </row>
    <row r="38">
      <c r="A38" s="2">
        <v>2.0</v>
      </c>
      <c r="B38" s="2">
        <v>4.0</v>
      </c>
      <c r="C38" s="2" t="s">
        <v>72</v>
      </c>
      <c r="D38" s="2" t="s">
        <v>19</v>
      </c>
      <c r="E38" s="2" t="s">
        <v>85</v>
      </c>
      <c r="F38" s="3" t="s">
        <v>86</v>
      </c>
      <c r="G38" s="3"/>
    </row>
    <row r="39">
      <c r="A39" s="2">
        <v>2.0</v>
      </c>
      <c r="B39" s="8">
        <v>6.0</v>
      </c>
      <c r="C39" s="2" t="s">
        <v>33</v>
      </c>
      <c r="D39" s="2" t="s">
        <v>19</v>
      </c>
      <c r="E39" s="2" t="s">
        <v>87</v>
      </c>
      <c r="F39" s="3" t="s">
        <v>88</v>
      </c>
      <c r="G39" s="3"/>
    </row>
    <row r="40">
      <c r="A40" s="2">
        <v>2.0</v>
      </c>
      <c r="B40" s="2">
        <v>6.0</v>
      </c>
      <c r="C40" s="2" t="s">
        <v>33</v>
      </c>
      <c r="D40" s="2" t="s">
        <v>19</v>
      </c>
      <c r="E40" s="2" t="s">
        <v>89</v>
      </c>
      <c r="F40" s="3" t="s">
        <v>90</v>
      </c>
      <c r="G40" s="3"/>
    </row>
    <row r="41">
      <c r="A41" s="2">
        <v>2.0</v>
      </c>
      <c r="B41" s="2">
        <v>6.0</v>
      </c>
      <c r="C41" s="2" t="s">
        <v>33</v>
      </c>
      <c r="D41" s="2" t="s">
        <v>8</v>
      </c>
      <c r="E41" s="2" t="s">
        <v>91</v>
      </c>
      <c r="F41" s="3" t="s">
        <v>92</v>
      </c>
      <c r="G41" s="3"/>
    </row>
    <row r="42">
      <c r="A42" s="2">
        <v>2.0</v>
      </c>
      <c r="B42" s="2">
        <v>6.0</v>
      </c>
      <c r="C42" s="2" t="s">
        <v>33</v>
      </c>
      <c r="D42" s="2" t="s">
        <v>19</v>
      </c>
      <c r="E42" s="2" t="s">
        <v>93</v>
      </c>
      <c r="F42" s="3" t="s">
        <v>94</v>
      </c>
      <c r="G42" s="3"/>
    </row>
    <row r="43">
      <c r="A43" s="2">
        <v>2.0</v>
      </c>
      <c r="B43" s="2">
        <v>7.0</v>
      </c>
      <c r="C43" s="2" t="s">
        <v>40</v>
      </c>
      <c r="D43" s="2" t="s">
        <v>8</v>
      </c>
      <c r="E43" s="2" t="s">
        <v>95</v>
      </c>
      <c r="F43" s="3" t="s">
        <v>96</v>
      </c>
      <c r="G43" s="3"/>
    </row>
    <row r="44">
      <c r="A44" s="2">
        <v>2.0</v>
      </c>
      <c r="B44" s="2">
        <v>7.0</v>
      </c>
      <c r="C44" s="2" t="s">
        <v>40</v>
      </c>
      <c r="D44" s="2" t="s">
        <v>19</v>
      </c>
      <c r="E44" s="2" t="s">
        <v>97</v>
      </c>
      <c r="F44" s="9" t="s">
        <v>98</v>
      </c>
      <c r="G44" s="3"/>
    </row>
    <row r="45">
      <c r="A45" s="2">
        <v>2.0</v>
      </c>
      <c r="B45" s="2">
        <v>7.0</v>
      </c>
      <c r="C45" s="2" t="s">
        <v>40</v>
      </c>
      <c r="D45" s="2" t="s">
        <v>8</v>
      </c>
      <c r="E45" s="2" t="s">
        <v>99</v>
      </c>
      <c r="F45" s="3" t="s">
        <v>100</v>
      </c>
      <c r="G45" s="3"/>
    </row>
    <row r="46">
      <c r="A46" s="2">
        <v>2.0</v>
      </c>
      <c r="B46" s="2">
        <v>7.0</v>
      </c>
      <c r="C46" s="2" t="s">
        <v>40</v>
      </c>
      <c r="D46" s="2" t="s">
        <v>8</v>
      </c>
      <c r="E46" s="2" t="s">
        <v>101</v>
      </c>
      <c r="F46" s="3" t="s">
        <v>102</v>
      </c>
      <c r="G46" s="3"/>
    </row>
    <row r="47">
      <c r="A47" s="2">
        <v>2.0</v>
      </c>
      <c r="B47" s="2">
        <v>9.0</v>
      </c>
      <c r="C47" s="2" t="s">
        <v>47</v>
      </c>
      <c r="D47" s="2" t="s">
        <v>8</v>
      </c>
      <c r="E47" s="2" t="s">
        <v>103</v>
      </c>
      <c r="F47" s="3" t="s">
        <v>104</v>
      </c>
      <c r="G47" s="3"/>
    </row>
    <row r="48">
      <c r="A48" s="2">
        <v>2.0</v>
      </c>
      <c r="B48" s="2">
        <v>10.0</v>
      </c>
      <c r="C48" s="2" t="s">
        <v>28</v>
      </c>
      <c r="D48" s="2" t="s">
        <v>8</v>
      </c>
      <c r="E48" s="2" t="s">
        <v>105</v>
      </c>
      <c r="F48" s="3" t="s">
        <v>106</v>
      </c>
      <c r="G48" s="3"/>
    </row>
    <row r="49">
      <c r="A49" s="2">
        <v>2.0</v>
      </c>
      <c r="B49" s="2">
        <v>12.0</v>
      </c>
      <c r="C49" s="2" t="s">
        <v>33</v>
      </c>
      <c r="D49" s="2" t="s">
        <v>19</v>
      </c>
      <c r="E49" s="2" t="s">
        <v>107</v>
      </c>
      <c r="F49" s="3" t="s">
        <v>108</v>
      </c>
      <c r="G49" s="3"/>
    </row>
    <row r="50">
      <c r="A50" s="2">
        <v>2.0</v>
      </c>
      <c r="B50" s="2">
        <v>13.0</v>
      </c>
      <c r="C50" s="2" t="s">
        <v>40</v>
      </c>
      <c r="D50" s="2" t="s">
        <v>19</v>
      </c>
      <c r="E50" s="2" t="s">
        <v>109</v>
      </c>
      <c r="F50" s="3" t="s">
        <v>110</v>
      </c>
      <c r="G50" s="3"/>
    </row>
    <row r="51">
      <c r="A51" s="2">
        <v>2.0</v>
      </c>
      <c r="B51" s="2">
        <v>15.0</v>
      </c>
      <c r="C51" s="2" t="s">
        <v>28</v>
      </c>
      <c r="D51" s="2" t="s">
        <v>19</v>
      </c>
      <c r="E51" s="2" t="s">
        <v>111</v>
      </c>
      <c r="F51" s="3" t="s">
        <v>112</v>
      </c>
      <c r="G51" s="3"/>
    </row>
    <row r="52">
      <c r="A52" s="2">
        <v>2.0</v>
      </c>
      <c r="B52" s="2">
        <v>16.0</v>
      </c>
      <c r="C52" s="2" t="s">
        <v>72</v>
      </c>
      <c r="D52" s="2" t="s">
        <v>8</v>
      </c>
      <c r="E52" s="2" t="s">
        <v>113</v>
      </c>
      <c r="F52" s="3" t="s">
        <v>114</v>
      </c>
      <c r="G52" s="3"/>
    </row>
    <row r="53">
      <c r="A53" s="2">
        <v>3.0</v>
      </c>
      <c r="B53" s="2">
        <v>1.0</v>
      </c>
      <c r="C53" s="2" t="s">
        <v>7</v>
      </c>
      <c r="D53" s="2" t="s">
        <v>8</v>
      </c>
      <c r="E53" s="8" t="s">
        <v>115</v>
      </c>
      <c r="F53" s="3" t="s">
        <v>116</v>
      </c>
      <c r="G53" s="3"/>
    </row>
    <row r="54">
      <c r="A54" s="2">
        <v>3.0</v>
      </c>
      <c r="B54" s="2">
        <v>1.0</v>
      </c>
      <c r="C54" s="2" t="s">
        <v>7</v>
      </c>
      <c r="D54" s="2" t="s">
        <v>19</v>
      </c>
      <c r="E54" s="2" t="s">
        <v>117</v>
      </c>
      <c r="F54" s="3" t="s">
        <v>118</v>
      </c>
      <c r="G54" s="3"/>
    </row>
    <row r="55">
      <c r="A55" s="2">
        <v>3.0</v>
      </c>
      <c r="B55" s="2">
        <v>1.0</v>
      </c>
      <c r="C55" s="2" t="s">
        <v>7</v>
      </c>
      <c r="D55" s="2" t="s">
        <v>19</v>
      </c>
      <c r="E55" s="2" t="s">
        <v>119</v>
      </c>
      <c r="F55" s="3" t="s">
        <v>120</v>
      </c>
      <c r="G55" s="3"/>
    </row>
    <row r="56">
      <c r="A56" s="2">
        <v>3.0</v>
      </c>
      <c r="B56" s="2">
        <v>1.0</v>
      </c>
      <c r="C56" s="2" t="s">
        <v>7</v>
      </c>
      <c r="D56" s="2" t="s">
        <v>19</v>
      </c>
      <c r="E56" s="2" t="s">
        <v>121</v>
      </c>
      <c r="F56" s="3" t="s">
        <v>122</v>
      </c>
      <c r="G56" s="3"/>
    </row>
    <row r="57">
      <c r="A57" s="2">
        <v>3.0</v>
      </c>
      <c r="B57" s="2">
        <v>1.0</v>
      </c>
      <c r="C57" s="2" t="s">
        <v>7</v>
      </c>
      <c r="D57" s="2" t="s">
        <v>19</v>
      </c>
      <c r="E57" s="8" t="s">
        <v>123</v>
      </c>
      <c r="F57" s="3" t="s">
        <v>124</v>
      </c>
      <c r="G57" s="3"/>
    </row>
    <row r="58">
      <c r="A58" s="2">
        <v>3.0</v>
      </c>
      <c r="B58" s="2">
        <v>3.0</v>
      </c>
      <c r="C58" s="2" t="s">
        <v>28</v>
      </c>
      <c r="D58" s="2" t="s">
        <v>8</v>
      </c>
      <c r="E58" s="2" t="s">
        <v>125</v>
      </c>
      <c r="F58" s="3" t="s">
        <v>126</v>
      </c>
      <c r="G58" s="3"/>
    </row>
    <row r="59">
      <c r="A59" s="2">
        <v>3.0</v>
      </c>
      <c r="B59" s="2">
        <v>3.0</v>
      </c>
      <c r="C59" s="2" t="s">
        <v>28</v>
      </c>
      <c r="D59" s="2" t="s">
        <v>8</v>
      </c>
      <c r="E59" s="2" t="s">
        <v>127</v>
      </c>
      <c r="F59" s="3" t="s">
        <v>128</v>
      </c>
      <c r="G59" s="3"/>
    </row>
    <row r="60">
      <c r="A60" s="2">
        <v>3.0</v>
      </c>
      <c r="B60" s="2">
        <v>3.0</v>
      </c>
      <c r="C60" s="2" t="s">
        <v>28</v>
      </c>
      <c r="D60" s="2" t="s">
        <v>19</v>
      </c>
      <c r="E60" s="2" t="s">
        <v>129</v>
      </c>
      <c r="F60" s="3" t="s">
        <v>130</v>
      </c>
      <c r="G60" s="3"/>
    </row>
    <row r="61">
      <c r="A61" s="2">
        <v>3.0</v>
      </c>
      <c r="B61" s="2">
        <v>3.0</v>
      </c>
      <c r="C61" s="2" t="s">
        <v>28</v>
      </c>
      <c r="D61" s="2" t="s">
        <v>8</v>
      </c>
      <c r="E61" s="2" t="s">
        <v>131</v>
      </c>
      <c r="F61" s="3" t="s">
        <v>132</v>
      </c>
      <c r="G61" s="3"/>
    </row>
    <row r="62">
      <c r="A62" s="2">
        <v>3.0</v>
      </c>
      <c r="B62" s="2">
        <v>4.0</v>
      </c>
      <c r="C62" s="2" t="s">
        <v>28</v>
      </c>
      <c r="D62" s="2" t="s">
        <v>19</v>
      </c>
      <c r="E62" s="2" t="s">
        <v>133</v>
      </c>
      <c r="F62" s="3" t="s">
        <v>134</v>
      </c>
      <c r="G62" s="3"/>
    </row>
    <row r="63">
      <c r="A63" s="2">
        <v>3.0</v>
      </c>
      <c r="B63" s="2">
        <v>4.0</v>
      </c>
      <c r="C63" s="2" t="s">
        <v>28</v>
      </c>
      <c r="D63" s="2" t="s">
        <v>19</v>
      </c>
      <c r="E63" s="2" t="s">
        <v>135</v>
      </c>
      <c r="F63" s="3" t="s">
        <v>136</v>
      </c>
      <c r="G63" s="3"/>
    </row>
    <row r="64">
      <c r="A64" s="2">
        <v>3.0</v>
      </c>
      <c r="B64" s="2">
        <v>4.0</v>
      </c>
      <c r="C64" s="2" t="s">
        <v>28</v>
      </c>
      <c r="D64" s="2" t="s">
        <v>19</v>
      </c>
      <c r="E64" s="2" t="s">
        <v>137</v>
      </c>
      <c r="F64" s="3" t="s">
        <v>138</v>
      </c>
      <c r="G64" s="3"/>
    </row>
    <row r="65">
      <c r="A65" s="2">
        <v>3.0</v>
      </c>
      <c r="B65" s="2">
        <v>4.0</v>
      </c>
      <c r="C65" s="2" t="s">
        <v>28</v>
      </c>
      <c r="D65" s="2" t="s">
        <v>19</v>
      </c>
      <c r="E65" s="2" t="s">
        <v>139</v>
      </c>
      <c r="F65" s="3" t="s">
        <v>140</v>
      </c>
      <c r="G65" s="3"/>
    </row>
    <row r="66">
      <c r="A66" s="2">
        <v>3.0</v>
      </c>
      <c r="B66" s="2">
        <v>5.0</v>
      </c>
      <c r="C66" s="2" t="s">
        <v>47</v>
      </c>
      <c r="D66" s="2" t="s">
        <v>8</v>
      </c>
      <c r="E66" s="2" t="s">
        <v>141</v>
      </c>
      <c r="F66" s="3" t="s">
        <v>142</v>
      </c>
      <c r="G66" s="3"/>
    </row>
    <row r="67">
      <c r="A67" s="2">
        <v>3.0</v>
      </c>
      <c r="B67" s="2">
        <v>5.0</v>
      </c>
      <c r="C67" s="2" t="s">
        <v>47</v>
      </c>
      <c r="D67" s="2" t="s">
        <v>19</v>
      </c>
      <c r="E67" s="2" t="s">
        <v>143</v>
      </c>
      <c r="F67" s="3" t="s">
        <v>144</v>
      </c>
      <c r="G67" s="3"/>
    </row>
    <row r="68">
      <c r="A68" s="2">
        <v>3.0</v>
      </c>
      <c r="B68" s="2">
        <v>6.0</v>
      </c>
      <c r="C68" s="2" t="s">
        <v>40</v>
      </c>
      <c r="D68" s="2" t="s">
        <v>19</v>
      </c>
      <c r="E68" s="2" t="s">
        <v>145</v>
      </c>
      <c r="F68" s="3" t="s">
        <v>146</v>
      </c>
      <c r="G68" s="3"/>
    </row>
    <row r="69">
      <c r="A69" s="2">
        <v>3.0</v>
      </c>
      <c r="B69" s="2">
        <v>6.0</v>
      </c>
      <c r="C69" s="2" t="s">
        <v>40</v>
      </c>
      <c r="D69" s="2" t="s">
        <v>19</v>
      </c>
      <c r="E69" s="2" t="s">
        <v>147</v>
      </c>
      <c r="F69" s="3" t="s">
        <v>148</v>
      </c>
      <c r="G69" s="3"/>
    </row>
    <row r="70">
      <c r="A70" s="2">
        <v>3.0</v>
      </c>
      <c r="B70" s="2">
        <v>6.0</v>
      </c>
      <c r="C70" s="2" t="s">
        <v>40</v>
      </c>
      <c r="D70" s="2" t="s">
        <v>19</v>
      </c>
      <c r="E70" s="2" t="s">
        <v>149</v>
      </c>
      <c r="F70" s="3" t="s">
        <v>150</v>
      </c>
      <c r="G70" s="3"/>
    </row>
    <row r="71">
      <c r="A71" s="2">
        <v>3.0</v>
      </c>
      <c r="B71" s="2">
        <v>8.0</v>
      </c>
      <c r="C71" s="2" t="s">
        <v>54</v>
      </c>
      <c r="D71" s="2" t="s">
        <v>8</v>
      </c>
      <c r="E71" s="2" t="s">
        <v>151</v>
      </c>
      <c r="F71" s="3" t="s">
        <v>152</v>
      </c>
      <c r="G71" s="3"/>
    </row>
    <row r="72">
      <c r="A72" s="2">
        <v>3.0</v>
      </c>
      <c r="B72" s="2">
        <v>8.0</v>
      </c>
      <c r="C72" s="2" t="s">
        <v>54</v>
      </c>
      <c r="D72" s="2" t="s">
        <v>19</v>
      </c>
      <c r="E72" s="2" t="s">
        <v>153</v>
      </c>
      <c r="F72" s="3" t="s">
        <v>154</v>
      </c>
      <c r="G72" s="3"/>
    </row>
    <row r="73">
      <c r="A73" s="2">
        <v>3.0</v>
      </c>
      <c r="B73" s="2">
        <v>8.0</v>
      </c>
      <c r="C73" s="2" t="s">
        <v>54</v>
      </c>
      <c r="D73" s="2" t="s">
        <v>19</v>
      </c>
      <c r="E73" s="2" t="s">
        <v>155</v>
      </c>
      <c r="F73" s="3" t="s">
        <v>156</v>
      </c>
      <c r="G73" s="3"/>
    </row>
    <row r="74">
      <c r="A74" s="2">
        <v>3.0</v>
      </c>
      <c r="B74" s="2">
        <v>8.0</v>
      </c>
      <c r="C74" s="2" t="s">
        <v>54</v>
      </c>
      <c r="D74" s="2" t="s">
        <v>19</v>
      </c>
      <c r="E74" s="2" t="s">
        <v>157</v>
      </c>
      <c r="F74" s="3" t="s">
        <v>158</v>
      </c>
      <c r="G74" s="3"/>
    </row>
    <row r="75">
      <c r="A75" s="2">
        <v>3.0</v>
      </c>
      <c r="B75" s="2">
        <v>8.0</v>
      </c>
      <c r="C75" s="2" t="s">
        <v>54</v>
      </c>
      <c r="D75" s="2" t="s">
        <v>19</v>
      </c>
      <c r="E75" s="2" t="s">
        <v>159</v>
      </c>
      <c r="F75" s="3" t="s">
        <v>160</v>
      </c>
      <c r="G75" s="3"/>
    </row>
    <row r="76">
      <c r="A76" s="2">
        <v>3.0</v>
      </c>
      <c r="B76" s="2">
        <v>9.0</v>
      </c>
      <c r="C76" s="2" t="s">
        <v>72</v>
      </c>
      <c r="D76" s="2" t="s">
        <v>8</v>
      </c>
      <c r="E76" s="2" t="s">
        <v>161</v>
      </c>
      <c r="F76" s="3" t="s">
        <v>162</v>
      </c>
      <c r="G76" s="3"/>
    </row>
    <row r="77">
      <c r="A77" s="2">
        <v>3.0</v>
      </c>
      <c r="B77" s="2">
        <v>9.0</v>
      </c>
      <c r="C77" s="2" t="s">
        <v>72</v>
      </c>
      <c r="D77" s="2" t="s">
        <v>8</v>
      </c>
      <c r="E77" s="2" t="s">
        <v>163</v>
      </c>
      <c r="F77" s="2" t="s">
        <v>164</v>
      </c>
      <c r="G77" s="3"/>
    </row>
    <row r="78">
      <c r="A78" s="2">
        <v>3.0</v>
      </c>
      <c r="B78" s="2">
        <v>9.0</v>
      </c>
      <c r="C78" s="2" t="s">
        <v>72</v>
      </c>
      <c r="D78" s="2" t="s">
        <v>8</v>
      </c>
      <c r="E78" s="2" t="s">
        <v>165</v>
      </c>
      <c r="F78" s="2" t="s">
        <v>166</v>
      </c>
      <c r="G78" s="3"/>
    </row>
    <row r="79">
      <c r="A79" s="2">
        <v>3.0</v>
      </c>
      <c r="B79" s="2">
        <v>9.0</v>
      </c>
      <c r="C79" s="2" t="s">
        <v>72</v>
      </c>
      <c r="D79" s="2" t="s">
        <v>8</v>
      </c>
      <c r="E79" s="2" t="s">
        <v>167</v>
      </c>
      <c r="F79" s="2" t="s">
        <v>168</v>
      </c>
      <c r="G79" s="3"/>
    </row>
    <row r="80">
      <c r="A80" s="2">
        <v>3.0</v>
      </c>
      <c r="B80" s="2">
        <v>9.0</v>
      </c>
      <c r="C80" s="2" t="s">
        <v>72</v>
      </c>
      <c r="D80" s="2" t="s">
        <v>19</v>
      </c>
      <c r="E80" s="2" t="s">
        <v>169</v>
      </c>
      <c r="F80" s="2" t="s">
        <v>170</v>
      </c>
      <c r="G80" s="3"/>
    </row>
    <row r="81">
      <c r="A81" s="2">
        <v>3.0</v>
      </c>
      <c r="B81" s="2">
        <v>10.0</v>
      </c>
      <c r="C81" s="10" t="s">
        <v>171</v>
      </c>
      <c r="D81" s="2" t="s">
        <v>8</v>
      </c>
      <c r="E81" s="2" t="s">
        <v>172</v>
      </c>
      <c r="F81" s="2" t="s">
        <v>173</v>
      </c>
      <c r="G81" s="3"/>
    </row>
    <row r="82">
      <c r="A82" s="2">
        <v>3.0</v>
      </c>
      <c r="B82" s="2">
        <v>10.0</v>
      </c>
      <c r="C82" s="10" t="s">
        <v>171</v>
      </c>
      <c r="D82" s="2" t="s">
        <v>8</v>
      </c>
      <c r="E82" s="2" t="s">
        <v>174</v>
      </c>
      <c r="F82" s="3" t="s">
        <v>175</v>
      </c>
      <c r="G82" s="3"/>
    </row>
    <row r="83">
      <c r="A83" s="2">
        <v>3.0</v>
      </c>
      <c r="B83" s="2">
        <v>11.0</v>
      </c>
      <c r="C83" s="2" t="s">
        <v>176</v>
      </c>
      <c r="D83" s="2" t="s">
        <v>19</v>
      </c>
      <c r="E83" s="2" t="s">
        <v>177</v>
      </c>
      <c r="F83" s="3" t="s">
        <v>178</v>
      </c>
      <c r="G83" s="3"/>
    </row>
    <row r="84">
      <c r="A84" s="2">
        <v>4.0</v>
      </c>
      <c r="B84" s="2">
        <v>1.0</v>
      </c>
      <c r="C84" s="2" t="s">
        <v>7</v>
      </c>
      <c r="D84" s="2" t="s">
        <v>8</v>
      </c>
      <c r="E84" s="2" t="s">
        <v>179</v>
      </c>
      <c r="F84" s="3" t="s">
        <v>180</v>
      </c>
      <c r="G84" s="3"/>
    </row>
    <row r="85">
      <c r="A85" s="2">
        <v>4.0</v>
      </c>
      <c r="B85" s="2">
        <v>1.0</v>
      </c>
      <c r="C85" s="2" t="s">
        <v>7</v>
      </c>
      <c r="D85" s="2" t="s">
        <v>19</v>
      </c>
      <c r="E85" s="2" t="s">
        <v>181</v>
      </c>
      <c r="F85" s="3" t="s">
        <v>182</v>
      </c>
      <c r="G85" s="3"/>
    </row>
    <row r="86">
      <c r="A86" s="2">
        <v>4.0</v>
      </c>
      <c r="B86" s="2">
        <v>1.0</v>
      </c>
      <c r="C86" s="2" t="s">
        <v>7</v>
      </c>
      <c r="D86" s="2" t="s">
        <v>8</v>
      </c>
      <c r="E86" s="2" t="s">
        <v>183</v>
      </c>
      <c r="F86" s="3" t="s">
        <v>184</v>
      </c>
      <c r="G86" s="3"/>
    </row>
    <row r="87">
      <c r="A87" s="2">
        <v>4.0</v>
      </c>
      <c r="B87" s="2">
        <v>3.0</v>
      </c>
      <c r="C87" s="2" t="s">
        <v>7</v>
      </c>
      <c r="D87" s="2" t="s">
        <v>19</v>
      </c>
      <c r="E87" s="2" t="s">
        <v>185</v>
      </c>
      <c r="F87" s="3" t="s">
        <v>186</v>
      </c>
      <c r="G87" s="3"/>
    </row>
    <row r="88">
      <c r="A88" s="2">
        <v>4.0</v>
      </c>
      <c r="B88" s="2">
        <v>3.0</v>
      </c>
      <c r="C88" s="2" t="s">
        <v>7</v>
      </c>
      <c r="D88" s="2" t="s">
        <v>19</v>
      </c>
      <c r="E88" s="2" t="s">
        <v>187</v>
      </c>
      <c r="F88" s="3" t="s">
        <v>188</v>
      </c>
      <c r="G88" s="3"/>
    </row>
    <row r="89">
      <c r="A89" s="2">
        <v>4.0</v>
      </c>
      <c r="B89" s="2">
        <v>3.0</v>
      </c>
      <c r="C89" s="2" t="s">
        <v>7</v>
      </c>
      <c r="D89" s="2" t="s">
        <v>19</v>
      </c>
      <c r="E89" s="2" t="s">
        <v>189</v>
      </c>
      <c r="F89" s="3" t="s">
        <v>190</v>
      </c>
      <c r="G89" s="3"/>
    </row>
    <row r="90">
      <c r="A90" s="2">
        <v>4.0</v>
      </c>
      <c r="B90" s="2">
        <v>3.0</v>
      </c>
      <c r="C90" s="2" t="s">
        <v>7</v>
      </c>
      <c r="D90" s="2" t="s">
        <v>19</v>
      </c>
      <c r="E90" s="2" t="s">
        <v>191</v>
      </c>
      <c r="F90" s="3" t="s">
        <v>192</v>
      </c>
      <c r="G90" s="3"/>
    </row>
    <row r="91">
      <c r="A91" s="2">
        <v>4.0</v>
      </c>
      <c r="B91" s="2">
        <v>4.0</v>
      </c>
      <c r="C91" s="2" t="s">
        <v>59</v>
      </c>
      <c r="D91" s="2" t="s">
        <v>8</v>
      </c>
      <c r="E91" s="2" t="s">
        <v>193</v>
      </c>
      <c r="F91" s="3" t="s">
        <v>194</v>
      </c>
      <c r="G91" s="3"/>
    </row>
    <row r="92">
      <c r="A92" s="2">
        <v>4.0</v>
      </c>
      <c r="B92" s="2">
        <v>4.0</v>
      </c>
      <c r="C92" s="2" t="s">
        <v>59</v>
      </c>
      <c r="D92" s="2" t="s">
        <v>8</v>
      </c>
      <c r="E92" s="2" t="s">
        <v>195</v>
      </c>
      <c r="F92" s="3" t="s">
        <v>196</v>
      </c>
      <c r="G92" s="3"/>
    </row>
    <row r="93">
      <c r="A93" s="2">
        <v>4.0</v>
      </c>
      <c r="B93" s="2">
        <v>4.0</v>
      </c>
      <c r="C93" s="2" t="s">
        <v>59</v>
      </c>
      <c r="D93" s="2" t="s">
        <v>8</v>
      </c>
      <c r="E93" s="2" t="s">
        <v>197</v>
      </c>
      <c r="F93" s="3" t="s">
        <v>198</v>
      </c>
      <c r="G93" s="3"/>
    </row>
    <row r="94">
      <c r="A94" s="2">
        <v>4.0</v>
      </c>
      <c r="B94" s="2">
        <v>4.0</v>
      </c>
      <c r="C94" s="2" t="s">
        <v>59</v>
      </c>
      <c r="D94" s="2" t="s">
        <v>19</v>
      </c>
      <c r="E94" s="2" t="s">
        <v>199</v>
      </c>
      <c r="F94" s="3" t="s">
        <v>200</v>
      </c>
      <c r="G94" s="3"/>
    </row>
    <row r="95">
      <c r="A95" s="2">
        <v>4.0</v>
      </c>
      <c r="B95" s="2">
        <v>4.0</v>
      </c>
      <c r="C95" s="2" t="s">
        <v>59</v>
      </c>
      <c r="D95" s="2" t="s">
        <v>19</v>
      </c>
      <c r="E95" s="2" t="s">
        <v>201</v>
      </c>
      <c r="F95" s="3" t="s">
        <v>202</v>
      </c>
      <c r="G95" s="3"/>
    </row>
    <row r="96">
      <c r="A96" s="2">
        <v>4.0</v>
      </c>
      <c r="B96" s="2">
        <v>4.0</v>
      </c>
      <c r="C96" s="2" t="s">
        <v>59</v>
      </c>
      <c r="D96" s="2" t="s">
        <v>19</v>
      </c>
      <c r="E96" s="2" t="s">
        <v>203</v>
      </c>
      <c r="F96" s="3" t="s">
        <v>204</v>
      </c>
      <c r="G96" s="3"/>
    </row>
    <row r="97">
      <c r="A97" s="2">
        <v>4.0</v>
      </c>
      <c r="B97" s="2">
        <v>4.0</v>
      </c>
      <c r="C97" s="2" t="s">
        <v>59</v>
      </c>
      <c r="D97" s="2" t="s">
        <v>8</v>
      </c>
      <c r="E97" s="2" t="s">
        <v>205</v>
      </c>
      <c r="F97" s="3" t="s">
        <v>206</v>
      </c>
      <c r="G97" s="3"/>
    </row>
    <row r="98">
      <c r="A98" s="2">
        <v>4.0</v>
      </c>
      <c r="B98" s="2">
        <v>4.0</v>
      </c>
      <c r="C98" s="2" t="s">
        <v>59</v>
      </c>
      <c r="D98" s="2" t="s">
        <v>19</v>
      </c>
      <c r="E98" s="2" t="s">
        <v>207</v>
      </c>
      <c r="F98" s="3" t="s">
        <v>208</v>
      </c>
      <c r="G98" s="3"/>
    </row>
    <row r="99">
      <c r="A99" s="2">
        <v>4.0</v>
      </c>
      <c r="B99" s="2">
        <v>5.0</v>
      </c>
      <c r="C99" s="2" t="s">
        <v>28</v>
      </c>
      <c r="D99" s="2" t="s">
        <v>8</v>
      </c>
      <c r="E99" s="2" t="s">
        <v>209</v>
      </c>
      <c r="F99" s="3" t="s">
        <v>210</v>
      </c>
      <c r="G99" s="3"/>
    </row>
    <row r="100">
      <c r="A100" s="2">
        <v>4.0</v>
      </c>
      <c r="B100" s="2">
        <v>5.0</v>
      </c>
      <c r="C100" s="2" t="s">
        <v>28</v>
      </c>
      <c r="D100" s="2" t="s">
        <v>19</v>
      </c>
      <c r="E100" s="2" t="s">
        <v>211</v>
      </c>
      <c r="F100" s="3" t="s">
        <v>212</v>
      </c>
      <c r="G100" s="3"/>
    </row>
    <row r="101">
      <c r="A101" s="2">
        <v>4.0</v>
      </c>
      <c r="B101" s="2">
        <v>5.0</v>
      </c>
      <c r="C101" s="2" t="s">
        <v>28</v>
      </c>
      <c r="D101" s="2" t="s">
        <v>19</v>
      </c>
      <c r="E101" s="2" t="s">
        <v>213</v>
      </c>
      <c r="F101" s="3" t="s">
        <v>214</v>
      </c>
      <c r="G101" s="3"/>
    </row>
    <row r="102">
      <c r="A102" s="2">
        <v>4.0</v>
      </c>
      <c r="B102" s="2">
        <v>5.0</v>
      </c>
      <c r="C102" s="2" t="s">
        <v>28</v>
      </c>
      <c r="D102" s="2" t="s">
        <v>19</v>
      </c>
      <c r="E102" s="2" t="s">
        <v>215</v>
      </c>
      <c r="F102" s="3" t="s">
        <v>216</v>
      </c>
      <c r="G102" s="3"/>
    </row>
    <row r="103">
      <c r="A103" s="2">
        <v>4.0</v>
      </c>
      <c r="B103" s="2">
        <v>6.0</v>
      </c>
      <c r="C103" s="2" t="s">
        <v>47</v>
      </c>
      <c r="D103" s="2" t="s">
        <v>19</v>
      </c>
      <c r="E103" s="2" t="s">
        <v>217</v>
      </c>
      <c r="F103" s="3" t="s">
        <v>218</v>
      </c>
      <c r="G103" s="3"/>
    </row>
    <row r="104">
      <c r="A104" s="2">
        <v>4.0</v>
      </c>
      <c r="B104" s="2">
        <v>6.0</v>
      </c>
      <c r="C104" s="2" t="s">
        <v>47</v>
      </c>
      <c r="D104" s="2" t="s">
        <v>19</v>
      </c>
      <c r="E104" s="2" t="s">
        <v>219</v>
      </c>
      <c r="F104" s="3" t="s">
        <v>220</v>
      </c>
      <c r="G104" s="3"/>
    </row>
    <row r="105">
      <c r="A105" s="2">
        <v>4.0</v>
      </c>
      <c r="B105" s="2">
        <v>6.0</v>
      </c>
      <c r="C105" s="2" t="s">
        <v>47</v>
      </c>
      <c r="D105" s="2" t="s">
        <v>19</v>
      </c>
      <c r="E105" s="2" t="s">
        <v>221</v>
      </c>
      <c r="F105" s="3" t="s">
        <v>222</v>
      </c>
      <c r="G105" s="3"/>
    </row>
    <row r="106">
      <c r="A106" s="2">
        <v>4.0</v>
      </c>
      <c r="B106" s="2">
        <v>6.0</v>
      </c>
      <c r="C106" s="2" t="s">
        <v>47</v>
      </c>
      <c r="D106" s="2" t="s">
        <v>19</v>
      </c>
      <c r="E106" s="2" t="s">
        <v>223</v>
      </c>
      <c r="F106" s="3" t="s">
        <v>224</v>
      </c>
      <c r="G106" s="3"/>
    </row>
    <row r="107">
      <c r="A107" s="2">
        <v>4.0</v>
      </c>
      <c r="B107" s="2">
        <v>6.0</v>
      </c>
      <c r="C107" s="2" t="s">
        <v>47</v>
      </c>
      <c r="D107" s="2" t="s">
        <v>19</v>
      </c>
      <c r="E107" s="2" t="s">
        <v>225</v>
      </c>
      <c r="F107" s="3" t="s">
        <v>226</v>
      </c>
      <c r="G107" s="3"/>
    </row>
    <row r="108">
      <c r="A108" s="2">
        <v>4.0</v>
      </c>
      <c r="B108" s="2">
        <v>6.0</v>
      </c>
      <c r="C108" s="2" t="s">
        <v>47</v>
      </c>
      <c r="D108" s="2" t="s">
        <v>19</v>
      </c>
      <c r="E108" s="2" t="s">
        <v>227</v>
      </c>
      <c r="F108" s="3" t="s">
        <v>228</v>
      </c>
      <c r="G108" s="3"/>
    </row>
    <row r="109">
      <c r="A109" s="2">
        <v>4.0</v>
      </c>
      <c r="B109" s="2">
        <v>6.0</v>
      </c>
      <c r="C109" s="2" t="s">
        <v>47</v>
      </c>
      <c r="D109" s="2" t="s">
        <v>19</v>
      </c>
      <c r="E109" s="2" t="s">
        <v>229</v>
      </c>
      <c r="F109" s="3" t="s">
        <v>230</v>
      </c>
      <c r="G109" s="3"/>
    </row>
    <row r="110">
      <c r="A110" s="2">
        <v>4.0</v>
      </c>
      <c r="B110" s="2">
        <v>6.0</v>
      </c>
      <c r="C110" s="2" t="s">
        <v>47</v>
      </c>
      <c r="D110" s="2" t="s">
        <v>19</v>
      </c>
      <c r="E110" s="2" t="s">
        <v>231</v>
      </c>
      <c r="F110" s="3" t="s">
        <v>232</v>
      </c>
      <c r="G110" s="3"/>
    </row>
    <row r="111">
      <c r="A111" s="2">
        <v>4.0</v>
      </c>
      <c r="B111" s="2">
        <v>6.0</v>
      </c>
      <c r="C111" s="2" t="s">
        <v>47</v>
      </c>
      <c r="D111" s="2" t="s">
        <v>19</v>
      </c>
      <c r="E111" s="2" t="s">
        <v>233</v>
      </c>
      <c r="F111" s="3" t="s">
        <v>234</v>
      </c>
      <c r="G111" s="3"/>
    </row>
    <row r="112">
      <c r="A112" s="2">
        <v>4.0</v>
      </c>
      <c r="B112" s="2">
        <v>8.0</v>
      </c>
      <c r="C112" s="2" t="s">
        <v>40</v>
      </c>
      <c r="D112" s="2" t="s">
        <v>19</v>
      </c>
      <c r="E112" s="2" t="s">
        <v>235</v>
      </c>
      <c r="F112" s="3" t="s">
        <v>236</v>
      </c>
      <c r="G112" s="3"/>
    </row>
    <row r="113">
      <c r="A113" s="2">
        <v>4.0</v>
      </c>
      <c r="B113" s="2">
        <v>8.0</v>
      </c>
      <c r="C113" s="2" t="s">
        <v>40</v>
      </c>
      <c r="D113" s="2" t="s">
        <v>19</v>
      </c>
      <c r="E113" s="2" t="s">
        <v>237</v>
      </c>
      <c r="F113" s="3" t="s">
        <v>238</v>
      </c>
      <c r="G113" s="3"/>
    </row>
    <row r="114">
      <c r="A114" s="2">
        <v>4.0</v>
      </c>
      <c r="B114" s="2">
        <v>8.0</v>
      </c>
      <c r="C114" s="2" t="s">
        <v>40</v>
      </c>
      <c r="D114" s="2" t="s">
        <v>8</v>
      </c>
      <c r="E114" s="2" t="s">
        <v>239</v>
      </c>
      <c r="F114" s="3" t="s">
        <v>240</v>
      </c>
      <c r="G114" s="3"/>
    </row>
    <row r="115">
      <c r="A115" s="2">
        <v>4.0</v>
      </c>
      <c r="B115" s="2">
        <v>9.0</v>
      </c>
      <c r="C115" s="2" t="s">
        <v>33</v>
      </c>
      <c r="D115" s="2" t="s">
        <v>19</v>
      </c>
      <c r="E115" s="2" t="s">
        <v>241</v>
      </c>
      <c r="F115" s="3" t="s">
        <v>242</v>
      </c>
      <c r="G115" s="3"/>
    </row>
    <row r="116">
      <c r="A116" s="2">
        <v>4.0</v>
      </c>
      <c r="B116" s="2">
        <v>9.0</v>
      </c>
      <c r="C116" s="2" t="s">
        <v>33</v>
      </c>
      <c r="D116" s="2" t="s">
        <v>19</v>
      </c>
      <c r="E116" s="2" t="s">
        <v>243</v>
      </c>
      <c r="F116" s="3" t="s">
        <v>244</v>
      </c>
      <c r="G116" s="3"/>
    </row>
    <row r="117">
      <c r="A117" s="2">
        <v>4.0</v>
      </c>
      <c r="B117" s="2">
        <v>9.0</v>
      </c>
      <c r="C117" s="2" t="s">
        <v>33</v>
      </c>
      <c r="D117" s="2" t="s">
        <v>19</v>
      </c>
      <c r="E117" s="2" t="s">
        <v>245</v>
      </c>
      <c r="F117" s="3" t="s">
        <v>246</v>
      </c>
      <c r="G117" s="3"/>
    </row>
    <row r="118">
      <c r="A118" s="2">
        <v>4.0</v>
      </c>
      <c r="B118" s="2">
        <v>9.0</v>
      </c>
      <c r="C118" s="2" t="s">
        <v>33</v>
      </c>
      <c r="D118" s="2" t="s">
        <v>19</v>
      </c>
      <c r="E118" s="2" t="s">
        <v>247</v>
      </c>
      <c r="F118" s="3" t="s">
        <v>248</v>
      </c>
      <c r="G118" s="3"/>
    </row>
    <row r="119">
      <c r="A119" s="2">
        <v>4.0</v>
      </c>
      <c r="B119" s="2">
        <v>9.0</v>
      </c>
      <c r="C119" s="2" t="s">
        <v>33</v>
      </c>
      <c r="D119" s="2" t="s">
        <v>19</v>
      </c>
      <c r="E119" s="2" t="s">
        <v>249</v>
      </c>
      <c r="F119" s="3" t="s">
        <v>250</v>
      </c>
      <c r="G119" s="3"/>
    </row>
    <row r="120">
      <c r="A120" s="2">
        <v>4.0</v>
      </c>
      <c r="B120" s="2">
        <v>10.0</v>
      </c>
      <c r="C120" s="2" t="s">
        <v>54</v>
      </c>
      <c r="D120" s="2" t="s">
        <v>19</v>
      </c>
      <c r="E120" s="2" t="s">
        <v>251</v>
      </c>
      <c r="F120" s="3" t="s">
        <v>252</v>
      </c>
      <c r="G120" s="3"/>
    </row>
    <row r="121">
      <c r="A121" s="2">
        <v>4.0</v>
      </c>
      <c r="B121" s="2">
        <v>10.0</v>
      </c>
      <c r="C121" s="2" t="s">
        <v>54</v>
      </c>
      <c r="D121" s="2" t="s">
        <v>19</v>
      </c>
      <c r="E121" s="2" t="s">
        <v>253</v>
      </c>
      <c r="F121" s="3" t="s">
        <v>254</v>
      </c>
      <c r="G121" s="3"/>
    </row>
    <row r="122">
      <c r="A122" s="2">
        <v>4.0</v>
      </c>
      <c r="B122" s="2">
        <v>10.0</v>
      </c>
      <c r="C122" s="2" t="s">
        <v>54</v>
      </c>
      <c r="D122" s="2" t="s">
        <v>19</v>
      </c>
      <c r="E122" s="2" t="s">
        <v>255</v>
      </c>
      <c r="F122" s="3" t="s">
        <v>256</v>
      </c>
      <c r="G122" s="3"/>
    </row>
    <row r="123">
      <c r="A123" s="2">
        <v>4.0</v>
      </c>
      <c r="B123" s="2">
        <v>10.0</v>
      </c>
      <c r="C123" s="2" t="s">
        <v>54</v>
      </c>
      <c r="D123" s="2" t="s">
        <v>19</v>
      </c>
      <c r="E123" s="2" t="s">
        <v>257</v>
      </c>
      <c r="F123" s="3" t="s">
        <v>258</v>
      </c>
      <c r="G123" s="3"/>
    </row>
    <row r="124">
      <c r="A124" s="2">
        <v>4.0</v>
      </c>
      <c r="B124" s="2">
        <v>10.0</v>
      </c>
      <c r="C124" s="2" t="s">
        <v>54</v>
      </c>
      <c r="D124" s="2" t="s">
        <v>19</v>
      </c>
      <c r="E124" s="2" t="s">
        <v>259</v>
      </c>
      <c r="F124" s="3" t="s">
        <v>260</v>
      </c>
      <c r="G124" s="3"/>
    </row>
    <row r="125">
      <c r="A125" s="2">
        <v>4.0</v>
      </c>
      <c r="B125" s="2">
        <v>10.0</v>
      </c>
      <c r="C125" s="2" t="s">
        <v>54</v>
      </c>
      <c r="D125" s="2" t="s">
        <v>19</v>
      </c>
      <c r="E125" s="2" t="s">
        <v>261</v>
      </c>
      <c r="F125" s="3" t="s">
        <v>262</v>
      </c>
      <c r="G125" s="3"/>
    </row>
    <row r="126">
      <c r="A126" s="2">
        <v>4.0</v>
      </c>
      <c r="B126" s="2">
        <v>10.0</v>
      </c>
      <c r="C126" s="2" t="s">
        <v>54</v>
      </c>
      <c r="D126" s="2" t="s">
        <v>19</v>
      </c>
      <c r="E126" s="2" t="s">
        <v>263</v>
      </c>
      <c r="F126" s="3" t="s">
        <v>264</v>
      </c>
      <c r="G126" s="3"/>
    </row>
    <row r="127">
      <c r="A127" s="2">
        <v>4.0</v>
      </c>
      <c r="B127" s="2">
        <v>10.0</v>
      </c>
      <c r="C127" s="2" t="s">
        <v>54</v>
      </c>
      <c r="D127" s="2" t="s">
        <v>19</v>
      </c>
      <c r="E127" s="2" t="s">
        <v>265</v>
      </c>
      <c r="F127" s="3" t="s">
        <v>266</v>
      </c>
      <c r="G127" s="3"/>
    </row>
    <row r="128">
      <c r="A128" s="2">
        <v>4.0</v>
      </c>
      <c r="B128" s="2">
        <v>10.0</v>
      </c>
      <c r="C128" s="2" t="s">
        <v>54</v>
      </c>
      <c r="D128" s="2" t="s">
        <v>19</v>
      </c>
      <c r="E128" s="2" t="s">
        <v>267</v>
      </c>
      <c r="F128" s="3" t="s">
        <v>268</v>
      </c>
      <c r="G128" s="3"/>
    </row>
    <row r="129">
      <c r="A129" s="2">
        <v>4.0</v>
      </c>
      <c r="B129" s="2">
        <v>10.0</v>
      </c>
      <c r="C129" s="2" t="s">
        <v>54</v>
      </c>
      <c r="D129" s="2" t="s">
        <v>19</v>
      </c>
      <c r="E129" s="2" t="s">
        <v>269</v>
      </c>
      <c r="F129" s="3" t="s">
        <v>270</v>
      </c>
      <c r="G129" s="3"/>
    </row>
    <row r="130">
      <c r="A130" s="2">
        <v>4.0</v>
      </c>
      <c r="B130" s="2">
        <v>10.0</v>
      </c>
      <c r="C130" s="2" t="s">
        <v>54</v>
      </c>
      <c r="D130" s="2" t="s">
        <v>19</v>
      </c>
      <c r="E130" s="2" t="s">
        <v>271</v>
      </c>
      <c r="F130" s="3" t="s">
        <v>272</v>
      </c>
      <c r="G130" s="3"/>
    </row>
    <row r="131">
      <c r="A131" s="2">
        <v>4.0</v>
      </c>
      <c r="B131" s="2">
        <v>11.0</v>
      </c>
      <c r="C131" s="2" t="s">
        <v>72</v>
      </c>
      <c r="D131" s="2" t="s">
        <v>8</v>
      </c>
      <c r="E131" s="2" t="s">
        <v>273</v>
      </c>
      <c r="F131" s="3" t="s">
        <v>274</v>
      </c>
      <c r="G131" s="3"/>
    </row>
    <row r="132">
      <c r="A132" s="2">
        <v>4.0</v>
      </c>
      <c r="B132" s="2">
        <v>11.0</v>
      </c>
      <c r="C132" s="2" t="s">
        <v>72</v>
      </c>
      <c r="D132" s="2" t="s">
        <v>19</v>
      </c>
      <c r="E132" s="2" t="s">
        <v>275</v>
      </c>
      <c r="F132" s="3" t="s">
        <v>276</v>
      </c>
      <c r="G132" s="3"/>
    </row>
    <row r="133">
      <c r="A133" s="2">
        <v>4.0</v>
      </c>
      <c r="B133" s="2">
        <v>11.0</v>
      </c>
      <c r="C133" s="2" t="s">
        <v>72</v>
      </c>
      <c r="D133" s="2" t="s">
        <v>19</v>
      </c>
      <c r="E133" s="11" t="s">
        <v>277</v>
      </c>
      <c r="F133" s="3" t="s">
        <v>278</v>
      </c>
      <c r="G133" s="3"/>
    </row>
    <row r="134">
      <c r="A134" s="2">
        <v>4.0</v>
      </c>
      <c r="B134" s="2">
        <v>11.0</v>
      </c>
      <c r="C134" s="2" t="s">
        <v>72</v>
      </c>
      <c r="D134" s="2" t="s">
        <v>19</v>
      </c>
      <c r="E134" s="2" t="s">
        <v>279</v>
      </c>
      <c r="F134" s="3" t="s">
        <v>280</v>
      </c>
      <c r="G134" s="3"/>
    </row>
    <row r="135">
      <c r="A135" s="2">
        <v>4.0</v>
      </c>
      <c r="B135" s="2">
        <v>11.0</v>
      </c>
      <c r="C135" s="2" t="s">
        <v>72</v>
      </c>
      <c r="D135" s="2" t="s">
        <v>19</v>
      </c>
      <c r="E135" s="2" t="s">
        <v>281</v>
      </c>
      <c r="F135" s="3" t="s">
        <v>282</v>
      </c>
      <c r="G135" s="3"/>
    </row>
    <row r="136">
      <c r="A136" s="2">
        <v>5.0</v>
      </c>
      <c r="B136" s="2">
        <v>1.0</v>
      </c>
      <c r="C136" s="2" t="s">
        <v>7</v>
      </c>
      <c r="D136" s="2" t="s">
        <v>8</v>
      </c>
      <c r="E136" s="2" t="s">
        <v>283</v>
      </c>
      <c r="F136" s="3" t="s">
        <v>284</v>
      </c>
      <c r="G136" s="3"/>
    </row>
    <row r="137">
      <c r="A137" s="2">
        <v>5.0</v>
      </c>
      <c r="B137" s="2">
        <v>1.0</v>
      </c>
      <c r="C137" s="2" t="s">
        <v>7</v>
      </c>
      <c r="D137" s="2" t="s">
        <v>19</v>
      </c>
      <c r="E137" s="2" t="s">
        <v>285</v>
      </c>
      <c r="F137" s="3" t="s">
        <v>286</v>
      </c>
      <c r="G137" s="3"/>
    </row>
    <row r="138">
      <c r="A138" s="2">
        <v>5.0</v>
      </c>
      <c r="B138" s="2">
        <v>1.0</v>
      </c>
      <c r="C138" s="2" t="s">
        <v>7</v>
      </c>
      <c r="D138" s="2" t="s">
        <v>19</v>
      </c>
      <c r="E138" s="2" t="s">
        <v>287</v>
      </c>
      <c r="F138" s="3" t="s">
        <v>288</v>
      </c>
      <c r="G138" s="3"/>
    </row>
    <row r="139">
      <c r="A139" s="2">
        <v>5.0</v>
      </c>
      <c r="B139" s="2">
        <v>3.0</v>
      </c>
      <c r="C139" s="2" t="s">
        <v>7</v>
      </c>
      <c r="D139" s="2" t="s">
        <v>8</v>
      </c>
      <c r="E139" s="2" t="s">
        <v>289</v>
      </c>
      <c r="F139" s="3" t="s">
        <v>290</v>
      </c>
      <c r="G139" s="3"/>
    </row>
    <row r="140">
      <c r="A140" s="2">
        <v>5.0</v>
      </c>
      <c r="B140" s="2">
        <v>3.0</v>
      </c>
      <c r="C140" s="2" t="s">
        <v>7</v>
      </c>
      <c r="D140" s="2" t="s">
        <v>8</v>
      </c>
      <c r="E140" s="2" t="s">
        <v>291</v>
      </c>
      <c r="F140" s="3" t="s">
        <v>292</v>
      </c>
      <c r="G140" s="3"/>
    </row>
    <row r="141">
      <c r="A141" s="2">
        <v>5.0</v>
      </c>
      <c r="B141" s="2">
        <v>3.0</v>
      </c>
      <c r="C141" s="2" t="s">
        <v>7</v>
      </c>
      <c r="D141" s="2" t="s">
        <v>8</v>
      </c>
      <c r="E141" s="2" t="s">
        <v>293</v>
      </c>
      <c r="F141" s="3" t="s">
        <v>294</v>
      </c>
      <c r="G141" s="3"/>
    </row>
    <row r="142">
      <c r="A142" s="2">
        <v>5.0</v>
      </c>
      <c r="B142" s="2">
        <v>3.0</v>
      </c>
      <c r="C142" s="2" t="s">
        <v>7</v>
      </c>
      <c r="D142" s="2" t="s">
        <v>8</v>
      </c>
      <c r="E142" s="2" t="s">
        <v>295</v>
      </c>
      <c r="F142" s="3" t="s">
        <v>296</v>
      </c>
      <c r="G142" s="3"/>
    </row>
    <row r="143">
      <c r="A143" s="2">
        <v>5.0</v>
      </c>
      <c r="B143" s="2">
        <v>3.0</v>
      </c>
      <c r="C143" s="2" t="s">
        <v>7</v>
      </c>
      <c r="D143" s="2" t="s">
        <v>8</v>
      </c>
      <c r="E143" s="2" t="s">
        <v>297</v>
      </c>
      <c r="F143" s="3" t="s">
        <v>298</v>
      </c>
      <c r="G143" s="3"/>
    </row>
    <row r="144">
      <c r="A144" s="2">
        <v>5.0</v>
      </c>
      <c r="B144" s="2">
        <v>3.0</v>
      </c>
      <c r="C144" s="2" t="s">
        <v>7</v>
      </c>
      <c r="D144" s="2" t="s">
        <v>19</v>
      </c>
      <c r="E144" s="2" t="s">
        <v>299</v>
      </c>
      <c r="F144" s="3" t="s">
        <v>300</v>
      </c>
      <c r="G144" s="3"/>
    </row>
    <row r="145">
      <c r="A145" s="2">
        <v>5.0</v>
      </c>
      <c r="B145" s="2">
        <v>4.0</v>
      </c>
      <c r="C145" s="2" t="s">
        <v>7</v>
      </c>
      <c r="D145" s="2" t="s">
        <v>19</v>
      </c>
      <c r="E145" s="2" t="s">
        <v>301</v>
      </c>
      <c r="F145" s="3" t="s">
        <v>302</v>
      </c>
      <c r="G145" s="3"/>
    </row>
    <row r="146">
      <c r="A146" s="2">
        <v>5.0</v>
      </c>
      <c r="B146" s="2">
        <v>4.0</v>
      </c>
      <c r="C146" s="2" t="s">
        <v>7</v>
      </c>
      <c r="D146" s="2" t="s">
        <v>19</v>
      </c>
      <c r="E146" s="2" t="s">
        <v>303</v>
      </c>
      <c r="F146" s="3" t="s">
        <v>304</v>
      </c>
      <c r="G146" s="3"/>
    </row>
    <row r="147">
      <c r="A147" s="2">
        <v>5.0</v>
      </c>
      <c r="B147" s="2">
        <v>4.0</v>
      </c>
      <c r="C147" s="2" t="s">
        <v>7</v>
      </c>
      <c r="D147" s="2" t="s">
        <v>8</v>
      </c>
      <c r="E147" s="2" t="s">
        <v>305</v>
      </c>
      <c r="F147" s="3" t="s">
        <v>306</v>
      </c>
      <c r="G147" s="3"/>
    </row>
    <row r="148">
      <c r="A148" s="2">
        <v>5.0</v>
      </c>
      <c r="B148" s="2">
        <v>4.0</v>
      </c>
      <c r="C148" s="2" t="s">
        <v>7</v>
      </c>
      <c r="D148" s="2" t="s">
        <v>8</v>
      </c>
      <c r="E148" s="2" t="s">
        <v>307</v>
      </c>
      <c r="F148" s="3" t="s">
        <v>308</v>
      </c>
      <c r="G148" s="3"/>
    </row>
    <row r="149">
      <c r="A149" s="2">
        <v>5.0</v>
      </c>
      <c r="B149" s="2">
        <v>5.0</v>
      </c>
      <c r="C149" s="2" t="s">
        <v>7</v>
      </c>
      <c r="D149" s="2" t="s">
        <v>19</v>
      </c>
      <c r="E149" s="2" t="s">
        <v>309</v>
      </c>
      <c r="F149" s="3" t="s">
        <v>310</v>
      </c>
      <c r="G149" s="3"/>
    </row>
    <row r="150">
      <c r="A150" s="2">
        <v>5.0</v>
      </c>
      <c r="B150" s="2">
        <v>5.0</v>
      </c>
      <c r="C150" s="2" t="s">
        <v>7</v>
      </c>
      <c r="D150" s="2" t="s">
        <v>8</v>
      </c>
      <c r="E150" s="2" t="s">
        <v>311</v>
      </c>
      <c r="F150" s="3" t="s">
        <v>312</v>
      </c>
      <c r="G150" s="3"/>
    </row>
    <row r="151">
      <c r="A151" s="2">
        <v>5.0</v>
      </c>
      <c r="B151" s="2">
        <v>5.0</v>
      </c>
      <c r="C151" s="2" t="s">
        <v>7</v>
      </c>
      <c r="D151" s="2" t="s">
        <v>8</v>
      </c>
      <c r="E151" s="2" t="s">
        <v>313</v>
      </c>
      <c r="F151" s="3" t="s">
        <v>314</v>
      </c>
      <c r="G151" s="3"/>
    </row>
    <row r="152">
      <c r="A152" s="2">
        <v>5.0</v>
      </c>
      <c r="B152" s="2">
        <v>6.0</v>
      </c>
      <c r="C152" s="2" t="s">
        <v>59</v>
      </c>
      <c r="D152" s="2" t="s">
        <v>8</v>
      </c>
      <c r="E152" s="2" t="s">
        <v>315</v>
      </c>
      <c r="F152" s="3" t="s">
        <v>316</v>
      </c>
      <c r="G152" s="3"/>
    </row>
    <row r="153">
      <c r="A153" s="2">
        <v>5.0</v>
      </c>
      <c r="B153" s="2">
        <v>6.0</v>
      </c>
      <c r="C153" s="2" t="s">
        <v>59</v>
      </c>
      <c r="D153" s="2" t="s">
        <v>19</v>
      </c>
      <c r="E153" s="2" t="s">
        <v>317</v>
      </c>
      <c r="F153" s="3" t="s">
        <v>318</v>
      </c>
      <c r="G153" s="3"/>
    </row>
    <row r="154">
      <c r="A154" s="2">
        <v>5.0</v>
      </c>
      <c r="B154" s="2">
        <v>8.0</v>
      </c>
      <c r="C154" s="2" t="s">
        <v>28</v>
      </c>
      <c r="D154" s="2"/>
      <c r="E154" s="2" t="s">
        <v>319</v>
      </c>
      <c r="F154" s="3" t="s">
        <v>320</v>
      </c>
      <c r="G154" s="3"/>
    </row>
    <row r="155">
      <c r="A155" s="2">
        <v>5.0</v>
      </c>
      <c r="B155" s="2">
        <v>8.0</v>
      </c>
      <c r="C155" s="2" t="s">
        <v>28</v>
      </c>
      <c r="D155" s="2"/>
      <c r="E155" s="2" t="s">
        <v>321</v>
      </c>
      <c r="F155" s="3" t="s">
        <v>322</v>
      </c>
      <c r="G155" s="3"/>
    </row>
    <row r="156">
      <c r="A156" s="2">
        <v>5.0</v>
      </c>
      <c r="B156" s="2">
        <v>9.0</v>
      </c>
      <c r="C156" s="2" t="s">
        <v>47</v>
      </c>
      <c r="D156" s="2" t="s">
        <v>8</v>
      </c>
      <c r="E156" s="2" t="s">
        <v>323</v>
      </c>
      <c r="F156" s="3" t="s">
        <v>324</v>
      </c>
      <c r="G156" s="3"/>
    </row>
    <row r="157">
      <c r="A157" s="2">
        <v>5.0</v>
      </c>
      <c r="B157" s="2">
        <v>9.0</v>
      </c>
      <c r="C157" s="2" t="s">
        <v>47</v>
      </c>
      <c r="D157" s="2" t="s">
        <v>19</v>
      </c>
      <c r="E157" s="2" t="s">
        <v>325</v>
      </c>
      <c r="F157" s="3" t="s">
        <v>326</v>
      </c>
      <c r="G157" s="3"/>
    </row>
    <row r="158">
      <c r="A158" s="2">
        <v>5.0</v>
      </c>
      <c r="B158" s="2">
        <v>10.0</v>
      </c>
      <c r="C158" s="2" t="s">
        <v>47</v>
      </c>
      <c r="D158" s="2" t="s">
        <v>19</v>
      </c>
      <c r="E158" s="2" t="s">
        <v>327</v>
      </c>
      <c r="F158" s="3" t="s">
        <v>328</v>
      </c>
      <c r="G158" s="3"/>
    </row>
    <row r="159">
      <c r="A159" s="2">
        <v>5.0</v>
      </c>
      <c r="B159" s="2">
        <v>11.0</v>
      </c>
      <c r="C159" s="2" t="s">
        <v>40</v>
      </c>
      <c r="D159" s="2" t="s">
        <v>8</v>
      </c>
      <c r="E159" s="2" t="s">
        <v>329</v>
      </c>
      <c r="F159" s="3" t="s">
        <v>330</v>
      </c>
      <c r="G159" s="3"/>
    </row>
    <row r="160">
      <c r="A160" s="2">
        <v>5.0</v>
      </c>
      <c r="B160" s="2">
        <v>11.0</v>
      </c>
      <c r="C160" s="2" t="s">
        <v>40</v>
      </c>
      <c r="D160" s="2" t="s">
        <v>19</v>
      </c>
      <c r="E160" s="2" t="s">
        <v>331</v>
      </c>
      <c r="F160" s="3" t="s">
        <v>332</v>
      </c>
      <c r="G160" s="3"/>
    </row>
    <row r="161">
      <c r="A161" s="2">
        <v>5.0</v>
      </c>
      <c r="B161" s="2">
        <v>11.0</v>
      </c>
      <c r="C161" s="2" t="s">
        <v>40</v>
      </c>
      <c r="D161" s="2" t="s">
        <v>19</v>
      </c>
      <c r="E161" s="2" t="s">
        <v>333</v>
      </c>
      <c r="F161" s="3" t="s">
        <v>334</v>
      </c>
      <c r="G161" s="3"/>
    </row>
    <row r="162">
      <c r="A162" s="2">
        <v>5.0</v>
      </c>
      <c r="B162" s="2">
        <v>11.0</v>
      </c>
      <c r="C162" s="2" t="s">
        <v>40</v>
      </c>
      <c r="D162" s="2" t="s">
        <v>19</v>
      </c>
      <c r="E162" s="2" t="s">
        <v>335</v>
      </c>
      <c r="F162" s="3" t="s">
        <v>336</v>
      </c>
      <c r="G162" s="3"/>
    </row>
    <row r="163">
      <c r="A163" s="2">
        <v>5.0</v>
      </c>
      <c r="B163" s="2">
        <v>11.0</v>
      </c>
      <c r="C163" s="2" t="s">
        <v>40</v>
      </c>
      <c r="D163" s="2" t="s">
        <v>8</v>
      </c>
      <c r="E163" s="2" t="s">
        <v>337</v>
      </c>
      <c r="F163" s="3" t="s">
        <v>338</v>
      </c>
      <c r="G163" s="3"/>
    </row>
    <row r="164">
      <c r="A164" s="2">
        <v>5.0</v>
      </c>
      <c r="B164" s="2">
        <v>11.0</v>
      </c>
      <c r="C164" s="2" t="s">
        <v>40</v>
      </c>
      <c r="D164" s="2" t="s">
        <v>19</v>
      </c>
      <c r="E164" s="2" t="s">
        <v>339</v>
      </c>
      <c r="F164" s="3" t="s">
        <v>340</v>
      </c>
      <c r="G164" s="3"/>
    </row>
    <row r="165">
      <c r="A165" s="2">
        <v>5.0</v>
      </c>
      <c r="B165" s="2">
        <v>11.0</v>
      </c>
      <c r="C165" s="2" t="s">
        <v>40</v>
      </c>
      <c r="D165" s="2" t="s">
        <v>8</v>
      </c>
      <c r="E165" s="2" t="s">
        <v>341</v>
      </c>
      <c r="F165" s="3" t="s">
        <v>342</v>
      </c>
      <c r="G165" s="3"/>
    </row>
    <row r="166">
      <c r="A166" s="2">
        <v>5.0</v>
      </c>
      <c r="B166" s="2">
        <v>11.0</v>
      </c>
      <c r="C166" s="2" t="s">
        <v>40</v>
      </c>
      <c r="D166" s="2" t="s">
        <v>19</v>
      </c>
      <c r="E166" s="2" t="s">
        <v>343</v>
      </c>
      <c r="F166" s="3" t="s">
        <v>344</v>
      </c>
      <c r="G166" s="3"/>
    </row>
    <row r="167">
      <c r="A167" s="2">
        <v>5.0</v>
      </c>
      <c r="B167" s="2">
        <v>11.0</v>
      </c>
      <c r="C167" s="2" t="s">
        <v>40</v>
      </c>
      <c r="D167" s="2" t="s">
        <v>19</v>
      </c>
      <c r="E167" s="2" t="s">
        <v>345</v>
      </c>
      <c r="F167" s="3" t="s">
        <v>346</v>
      </c>
      <c r="G167" s="3"/>
    </row>
    <row r="168">
      <c r="A168" s="2">
        <v>5.0</v>
      </c>
      <c r="B168" s="2">
        <v>13.0</v>
      </c>
      <c r="C168" s="2" t="s">
        <v>54</v>
      </c>
      <c r="D168" s="2" t="s">
        <v>8</v>
      </c>
      <c r="E168" s="2" t="s">
        <v>347</v>
      </c>
      <c r="F168" s="3" t="s">
        <v>348</v>
      </c>
      <c r="G168" s="3"/>
    </row>
    <row r="169">
      <c r="A169" s="2">
        <v>5.0</v>
      </c>
      <c r="B169" s="2">
        <v>13.0</v>
      </c>
      <c r="C169" s="2" t="s">
        <v>54</v>
      </c>
      <c r="D169" s="2" t="s">
        <v>19</v>
      </c>
      <c r="E169" s="2" t="s">
        <v>349</v>
      </c>
      <c r="F169" s="3" t="s">
        <v>350</v>
      </c>
      <c r="G169" s="3"/>
    </row>
    <row r="170">
      <c r="A170" s="2">
        <v>5.0</v>
      </c>
      <c r="B170" s="2">
        <v>13.0</v>
      </c>
      <c r="C170" s="2" t="s">
        <v>54</v>
      </c>
      <c r="D170" s="2" t="s">
        <v>8</v>
      </c>
      <c r="E170" s="2" t="s">
        <v>351</v>
      </c>
      <c r="F170" s="3" t="s">
        <v>352</v>
      </c>
      <c r="G170" s="3"/>
    </row>
    <row r="171">
      <c r="A171" s="2">
        <v>5.0</v>
      </c>
      <c r="B171" s="2">
        <v>13.0</v>
      </c>
      <c r="C171" s="2" t="s">
        <v>54</v>
      </c>
      <c r="D171" s="2" t="s">
        <v>19</v>
      </c>
      <c r="E171" s="2" t="s">
        <v>353</v>
      </c>
      <c r="F171" s="3" t="s">
        <v>354</v>
      </c>
      <c r="G171" s="3"/>
    </row>
    <row r="172">
      <c r="A172" s="2">
        <v>5.0</v>
      </c>
      <c r="B172" s="2">
        <v>13.0</v>
      </c>
      <c r="C172" s="2" t="s">
        <v>54</v>
      </c>
      <c r="D172" s="2" t="s">
        <v>19</v>
      </c>
      <c r="E172" s="2" t="s">
        <v>355</v>
      </c>
      <c r="F172" s="3" t="s">
        <v>356</v>
      </c>
      <c r="G172" s="3"/>
    </row>
    <row r="173">
      <c r="A173" s="2">
        <v>5.0</v>
      </c>
      <c r="B173" s="2">
        <v>14.0</v>
      </c>
      <c r="C173" s="2" t="s">
        <v>72</v>
      </c>
      <c r="D173" s="2" t="s">
        <v>8</v>
      </c>
      <c r="E173" s="2" t="s">
        <v>357</v>
      </c>
      <c r="F173" s="3" t="s">
        <v>358</v>
      </c>
      <c r="G173" s="3"/>
    </row>
    <row r="174">
      <c r="A174" s="2">
        <v>5.0</v>
      </c>
      <c r="B174" s="2">
        <v>14.0</v>
      </c>
      <c r="C174" s="2" t="s">
        <v>72</v>
      </c>
      <c r="D174" s="2" t="s">
        <v>8</v>
      </c>
      <c r="E174" s="2" t="s">
        <v>359</v>
      </c>
      <c r="F174" s="3" t="s">
        <v>360</v>
      </c>
      <c r="G174" s="3"/>
    </row>
    <row r="175">
      <c r="A175" s="2">
        <v>6.0</v>
      </c>
      <c r="B175" s="2">
        <v>1.0</v>
      </c>
      <c r="C175" s="2" t="s">
        <v>7</v>
      </c>
      <c r="D175" s="2" t="s">
        <v>8</v>
      </c>
      <c r="E175" s="2" t="s">
        <v>361</v>
      </c>
      <c r="F175" s="3" t="s">
        <v>362</v>
      </c>
      <c r="G175" s="3"/>
    </row>
    <row r="176">
      <c r="A176" s="2">
        <v>6.0</v>
      </c>
      <c r="B176" s="2">
        <v>3.0</v>
      </c>
      <c r="C176" s="12" t="s">
        <v>47</v>
      </c>
      <c r="D176" s="2" t="s">
        <v>19</v>
      </c>
      <c r="E176" s="2" t="s">
        <v>363</v>
      </c>
      <c r="F176" s="3" t="s">
        <v>364</v>
      </c>
      <c r="G176" s="3"/>
    </row>
    <row r="177">
      <c r="A177" s="2">
        <v>6.0</v>
      </c>
      <c r="B177" s="2">
        <v>3.0</v>
      </c>
      <c r="C177" s="12" t="s">
        <v>47</v>
      </c>
      <c r="D177" s="2" t="s">
        <v>8</v>
      </c>
      <c r="E177" s="2" t="s">
        <v>365</v>
      </c>
      <c r="F177" s="3" t="s">
        <v>366</v>
      </c>
      <c r="G177" s="3"/>
    </row>
    <row r="178">
      <c r="A178" s="2">
        <v>6.0</v>
      </c>
      <c r="B178" s="2">
        <v>3.0</v>
      </c>
      <c r="C178" s="12" t="s">
        <v>47</v>
      </c>
      <c r="D178" s="2" t="s">
        <v>19</v>
      </c>
      <c r="E178" s="2" t="s">
        <v>367</v>
      </c>
      <c r="F178" s="3" t="s">
        <v>368</v>
      </c>
      <c r="G178" s="3"/>
    </row>
    <row r="179">
      <c r="A179" s="2">
        <v>6.0</v>
      </c>
      <c r="B179" s="2">
        <v>3.0</v>
      </c>
      <c r="C179" s="12" t="s">
        <v>47</v>
      </c>
      <c r="D179" s="2" t="s">
        <v>8</v>
      </c>
      <c r="E179" s="2" t="s">
        <v>369</v>
      </c>
      <c r="F179" s="3" t="s">
        <v>370</v>
      </c>
      <c r="G179" s="3"/>
    </row>
    <row r="180">
      <c r="A180" s="2">
        <v>6.0</v>
      </c>
      <c r="B180" s="2">
        <v>3.0</v>
      </c>
      <c r="C180" s="12" t="s">
        <v>47</v>
      </c>
      <c r="D180" s="2" t="s">
        <v>19</v>
      </c>
      <c r="E180" s="2" t="s">
        <v>371</v>
      </c>
      <c r="F180" s="3" t="s">
        <v>372</v>
      </c>
      <c r="G180" s="3"/>
    </row>
    <row r="181">
      <c r="A181" s="2">
        <v>6.0</v>
      </c>
      <c r="B181" s="2">
        <v>3.0</v>
      </c>
      <c r="C181" s="12" t="s">
        <v>47</v>
      </c>
      <c r="D181" s="2" t="s">
        <v>8</v>
      </c>
      <c r="E181" s="2" t="s">
        <v>373</v>
      </c>
      <c r="F181" s="3" t="s">
        <v>374</v>
      </c>
      <c r="G181" s="3"/>
    </row>
    <row r="182">
      <c r="A182" s="2">
        <v>6.0</v>
      </c>
      <c r="B182" s="2">
        <v>4.0</v>
      </c>
      <c r="C182" s="12" t="s">
        <v>47</v>
      </c>
      <c r="D182" s="2" t="s">
        <v>19</v>
      </c>
      <c r="E182" s="2" t="s">
        <v>375</v>
      </c>
      <c r="F182" s="3" t="s">
        <v>376</v>
      </c>
      <c r="G182" s="3"/>
    </row>
    <row r="183">
      <c r="A183" s="2">
        <v>6.0</v>
      </c>
      <c r="B183" s="2">
        <v>5.0</v>
      </c>
      <c r="C183" s="12" t="s">
        <v>40</v>
      </c>
      <c r="D183" s="2" t="s">
        <v>19</v>
      </c>
      <c r="E183" s="2" t="s">
        <v>377</v>
      </c>
      <c r="F183" s="3" t="s">
        <v>378</v>
      </c>
      <c r="G183" s="3"/>
    </row>
    <row r="184">
      <c r="A184" s="2">
        <v>6.0</v>
      </c>
      <c r="B184" s="2">
        <v>5.0</v>
      </c>
      <c r="C184" s="12" t="s">
        <v>40</v>
      </c>
      <c r="D184" s="2" t="s">
        <v>8</v>
      </c>
      <c r="E184" s="2" t="s">
        <v>379</v>
      </c>
      <c r="F184" s="3" t="s">
        <v>380</v>
      </c>
      <c r="G184" s="3"/>
    </row>
    <row r="185">
      <c r="A185" s="2">
        <v>6.0</v>
      </c>
      <c r="B185" s="2">
        <v>5.0</v>
      </c>
      <c r="C185" s="12" t="s">
        <v>40</v>
      </c>
      <c r="D185" s="2" t="s">
        <v>19</v>
      </c>
      <c r="E185" s="2" t="s">
        <v>381</v>
      </c>
      <c r="F185" s="3" t="s">
        <v>382</v>
      </c>
      <c r="G185" s="3"/>
    </row>
    <row r="186">
      <c r="A186" s="2">
        <v>6.0</v>
      </c>
      <c r="B186" s="2">
        <v>5.0</v>
      </c>
      <c r="C186" s="12" t="s">
        <v>40</v>
      </c>
      <c r="D186" s="2" t="s">
        <v>19</v>
      </c>
      <c r="E186" s="2" t="s">
        <v>383</v>
      </c>
      <c r="F186" s="3" t="s">
        <v>384</v>
      </c>
      <c r="G186" s="3"/>
    </row>
    <row r="187">
      <c r="A187" s="2">
        <v>6.0</v>
      </c>
      <c r="B187" s="2">
        <v>5.0</v>
      </c>
      <c r="C187" s="12" t="s">
        <v>40</v>
      </c>
      <c r="D187" s="2" t="s">
        <v>19</v>
      </c>
      <c r="E187" s="2" t="s">
        <v>385</v>
      </c>
      <c r="F187" s="3" t="s">
        <v>386</v>
      </c>
      <c r="G187" s="3"/>
    </row>
    <row r="188">
      <c r="A188" s="2">
        <v>6.0</v>
      </c>
      <c r="B188" s="2">
        <v>6.0</v>
      </c>
      <c r="C188" s="12" t="s">
        <v>33</v>
      </c>
      <c r="D188" s="2" t="s">
        <v>19</v>
      </c>
      <c r="E188" s="2" t="s">
        <v>387</v>
      </c>
      <c r="F188" s="3" t="s">
        <v>388</v>
      </c>
      <c r="G188" s="3"/>
    </row>
    <row r="189">
      <c r="A189" s="2">
        <v>6.0</v>
      </c>
      <c r="B189" s="2">
        <v>6.0</v>
      </c>
      <c r="C189" s="12" t="s">
        <v>33</v>
      </c>
      <c r="D189" s="2" t="s">
        <v>19</v>
      </c>
      <c r="E189" s="2" t="s">
        <v>389</v>
      </c>
      <c r="F189" s="3" t="s">
        <v>390</v>
      </c>
      <c r="G189" s="3"/>
    </row>
    <row r="190">
      <c r="A190" s="2">
        <v>6.0</v>
      </c>
      <c r="B190" s="2">
        <v>6.0</v>
      </c>
      <c r="C190" s="12" t="s">
        <v>33</v>
      </c>
      <c r="D190" s="2" t="s">
        <v>19</v>
      </c>
      <c r="E190" s="2" t="s">
        <v>391</v>
      </c>
      <c r="F190" s="3" t="s">
        <v>392</v>
      </c>
      <c r="G190" s="3"/>
    </row>
    <row r="191">
      <c r="A191" s="2">
        <v>6.0</v>
      </c>
      <c r="B191" s="2">
        <v>6.0</v>
      </c>
      <c r="C191" s="12" t="s">
        <v>33</v>
      </c>
      <c r="D191" s="2" t="s">
        <v>19</v>
      </c>
      <c r="E191" s="2" t="s">
        <v>393</v>
      </c>
      <c r="F191" s="3" t="s">
        <v>394</v>
      </c>
      <c r="G191" s="3"/>
    </row>
    <row r="192">
      <c r="A192" s="2">
        <v>6.0</v>
      </c>
      <c r="B192" s="2">
        <v>8.0</v>
      </c>
      <c r="C192" s="12" t="s">
        <v>72</v>
      </c>
      <c r="D192" s="2" t="s">
        <v>8</v>
      </c>
      <c r="E192" s="2" t="s">
        <v>395</v>
      </c>
      <c r="F192" s="3" t="s">
        <v>396</v>
      </c>
      <c r="G192" s="3"/>
    </row>
    <row r="193">
      <c r="A193" s="2">
        <v>6.0</v>
      </c>
      <c r="B193" s="2">
        <v>8.0</v>
      </c>
      <c r="C193" s="12" t="s">
        <v>72</v>
      </c>
      <c r="D193" s="2" t="s">
        <v>8</v>
      </c>
      <c r="E193" s="2" t="s">
        <v>397</v>
      </c>
      <c r="F193" s="3" t="s">
        <v>398</v>
      </c>
      <c r="G193" s="3"/>
    </row>
    <row r="194">
      <c r="A194" s="2">
        <v>7.0</v>
      </c>
      <c r="B194" s="2">
        <v>1.0</v>
      </c>
      <c r="C194" s="2" t="s">
        <v>7</v>
      </c>
      <c r="D194" s="2" t="s">
        <v>8</v>
      </c>
      <c r="E194" s="2" t="s">
        <v>399</v>
      </c>
      <c r="F194" s="3" t="s">
        <v>400</v>
      </c>
      <c r="G194" s="3"/>
    </row>
    <row r="195">
      <c r="A195" s="2">
        <v>7.0</v>
      </c>
      <c r="B195" s="2">
        <v>1.0</v>
      </c>
      <c r="C195" s="2" t="s">
        <v>7</v>
      </c>
      <c r="D195" s="2" t="s">
        <v>19</v>
      </c>
      <c r="E195" s="2" t="s">
        <v>401</v>
      </c>
      <c r="F195" s="3" t="s">
        <v>402</v>
      </c>
      <c r="G195" s="3"/>
    </row>
    <row r="196">
      <c r="A196" s="2">
        <v>7.0</v>
      </c>
      <c r="B196" s="2">
        <v>1.0</v>
      </c>
      <c r="C196" s="2" t="s">
        <v>7</v>
      </c>
      <c r="D196" s="2" t="s">
        <v>8</v>
      </c>
      <c r="E196" s="2" t="s">
        <v>403</v>
      </c>
      <c r="F196" s="3" t="s">
        <v>404</v>
      </c>
      <c r="G196" s="3"/>
    </row>
    <row r="197">
      <c r="A197" s="2">
        <v>7.0</v>
      </c>
      <c r="B197" s="2">
        <v>1.0</v>
      </c>
      <c r="C197" s="2" t="s">
        <v>7</v>
      </c>
      <c r="D197" s="2" t="s">
        <v>19</v>
      </c>
      <c r="E197" s="2" t="s">
        <v>405</v>
      </c>
      <c r="F197" s="3" t="s">
        <v>406</v>
      </c>
      <c r="G197" s="3"/>
    </row>
    <row r="198">
      <c r="A198" s="2">
        <v>7.0</v>
      </c>
      <c r="B198" s="2">
        <v>1.0</v>
      </c>
      <c r="C198" s="2" t="s">
        <v>7</v>
      </c>
      <c r="D198" s="2" t="s">
        <v>19</v>
      </c>
      <c r="E198" s="2" t="s">
        <v>407</v>
      </c>
      <c r="F198" s="3" t="s">
        <v>408</v>
      </c>
      <c r="G198" s="3"/>
    </row>
    <row r="199">
      <c r="A199" s="2">
        <v>7.0</v>
      </c>
      <c r="B199" s="2">
        <v>1.0</v>
      </c>
      <c r="C199" s="2" t="s">
        <v>7</v>
      </c>
      <c r="D199" s="2" t="s">
        <v>19</v>
      </c>
      <c r="E199" s="2" t="s">
        <v>409</v>
      </c>
      <c r="F199" s="3" t="s">
        <v>410</v>
      </c>
      <c r="G199" s="3"/>
    </row>
    <row r="200">
      <c r="A200" s="2">
        <v>7.0</v>
      </c>
      <c r="B200" s="2">
        <v>1.0</v>
      </c>
      <c r="C200" s="2" t="s">
        <v>7</v>
      </c>
      <c r="D200" s="2" t="s">
        <v>19</v>
      </c>
      <c r="E200" s="2" t="s">
        <v>411</v>
      </c>
      <c r="F200" s="3" t="s">
        <v>412</v>
      </c>
      <c r="G200" s="3"/>
    </row>
    <row r="201">
      <c r="A201" s="2">
        <v>7.0</v>
      </c>
      <c r="B201" s="2">
        <v>3.0</v>
      </c>
      <c r="C201" s="12" t="s">
        <v>28</v>
      </c>
      <c r="D201" s="2" t="s">
        <v>19</v>
      </c>
      <c r="E201" s="2" t="s">
        <v>413</v>
      </c>
      <c r="F201" s="3" t="s">
        <v>414</v>
      </c>
      <c r="G201" s="3"/>
    </row>
    <row r="202">
      <c r="A202" s="2">
        <v>7.0</v>
      </c>
      <c r="B202" s="2">
        <v>3.0</v>
      </c>
      <c r="C202" s="12" t="s">
        <v>28</v>
      </c>
      <c r="D202" s="2" t="s">
        <v>19</v>
      </c>
      <c r="E202" s="2" t="s">
        <v>415</v>
      </c>
      <c r="F202" s="3" t="s">
        <v>416</v>
      </c>
      <c r="G202" s="3"/>
    </row>
    <row r="203">
      <c r="A203" s="2">
        <v>7.0</v>
      </c>
      <c r="B203" s="2">
        <v>3.0</v>
      </c>
      <c r="C203" s="12" t="s">
        <v>28</v>
      </c>
      <c r="D203" s="2" t="s">
        <v>19</v>
      </c>
      <c r="E203" s="2" t="s">
        <v>417</v>
      </c>
      <c r="F203" s="3" t="s">
        <v>418</v>
      </c>
      <c r="G203" s="3"/>
    </row>
    <row r="204">
      <c r="A204" s="2">
        <v>7.0</v>
      </c>
      <c r="B204" s="2">
        <v>3.0</v>
      </c>
      <c r="C204" s="12" t="s">
        <v>28</v>
      </c>
      <c r="D204" s="2" t="s">
        <v>19</v>
      </c>
      <c r="E204" s="2" t="s">
        <v>419</v>
      </c>
      <c r="F204" s="3" t="s">
        <v>420</v>
      </c>
      <c r="G204" s="3"/>
    </row>
    <row r="205">
      <c r="A205" s="2">
        <v>7.0</v>
      </c>
      <c r="B205" s="2">
        <v>4.0</v>
      </c>
      <c r="C205" s="12" t="s">
        <v>47</v>
      </c>
      <c r="D205" s="2" t="s">
        <v>19</v>
      </c>
      <c r="E205" s="2" t="s">
        <v>421</v>
      </c>
      <c r="F205" s="3" t="s">
        <v>422</v>
      </c>
      <c r="G205" s="3"/>
    </row>
    <row r="206">
      <c r="A206" s="2">
        <v>7.0</v>
      </c>
      <c r="B206" s="2">
        <v>5.0</v>
      </c>
      <c r="C206" s="12" t="s">
        <v>40</v>
      </c>
      <c r="D206" s="2" t="s">
        <v>19</v>
      </c>
      <c r="E206" s="2" t="s">
        <v>423</v>
      </c>
      <c r="F206" s="3" t="s">
        <v>424</v>
      </c>
      <c r="G206" s="3"/>
    </row>
    <row r="207">
      <c r="A207" s="2">
        <v>7.0</v>
      </c>
      <c r="B207" s="2">
        <v>5.0</v>
      </c>
      <c r="C207" s="12" t="s">
        <v>40</v>
      </c>
      <c r="D207" s="2" t="s">
        <v>19</v>
      </c>
      <c r="E207" s="2" t="s">
        <v>425</v>
      </c>
      <c r="F207" s="3" t="s">
        <v>426</v>
      </c>
      <c r="G207" s="3"/>
    </row>
    <row r="208">
      <c r="A208" s="2">
        <v>7.0</v>
      </c>
      <c r="B208" s="2">
        <v>5.0</v>
      </c>
      <c r="C208" s="12" t="s">
        <v>40</v>
      </c>
      <c r="D208" s="2" t="s">
        <v>19</v>
      </c>
      <c r="E208" s="2" t="s">
        <v>427</v>
      </c>
      <c r="F208" s="3" t="s">
        <v>428</v>
      </c>
      <c r="G208" s="3"/>
    </row>
    <row r="209">
      <c r="A209" s="2">
        <v>7.0</v>
      </c>
      <c r="B209" s="2">
        <v>5.0</v>
      </c>
      <c r="C209" s="12" t="s">
        <v>40</v>
      </c>
      <c r="D209" s="2" t="s">
        <v>8</v>
      </c>
      <c r="E209" s="2" t="s">
        <v>429</v>
      </c>
      <c r="F209" s="3" t="s">
        <v>430</v>
      </c>
      <c r="G209" s="3"/>
    </row>
    <row r="210">
      <c r="A210" s="2">
        <v>7.0</v>
      </c>
      <c r="B210" s="2">
        <v>6.0</v>
      </c>
      <c r="C210" s="12" t="s">
        <v>33</v>
      </c>
      <c r="D210" s="2" t="s">
        <v>19</v>
      </c>
      <c r="E210" s="2" t="s">
        <v>431</v>
      </c>
      <c r="F210" s="3" t="s">
        <v>432</v>
      </c>
      <c r="G210" s="3"/>
    </row>
    <row r="211">
      <c r="A211" s="2">
        <v>7.0</v>
      </c>
      <c r="B211" s="2">
        <v>6.0</v>
      </c>
      <c r="C211" s="12" t="s">
        <v>33</v>
      </c>
      <c r="D211" s="2" t="s">
        <v>8</v>
      </c>
      <c r="E211" s="2" t="s">
        <v>433</v>
      </c>
      <c r="F211" s="3" t="s">
        <v>434</v>
      </c>
      <c r="G211" s="3"/>
    </row>
    <row r="212">
      <c r="A212" s="2">
        <v>7.0</v>
      </c>
      <c r="B212" s="2">
        <v>6.0</v>
      </c>
      <c r="C212" s="12" t="s">
        <v>33</v>
      </c>
      <c r="D212" s="2" t="s">
        <v>19</v>
      </c>
      <c r="E212" s="2" t="s">
        <v>435</v>
      </c>
      <c r="F212" s="3" t="s">
        <v>436</v>
      </c>
      <c r="G212" s="3"/>
    </row>
    <row r="213">
      <c r="A213" s="2">
        <v>7.0</v>
      </c>
      <c r="B213" s="2">
        <v>8.0</v>
      </c>
      <c r="C213" s="12" t="s">
        <v>72</v>
      </c>
      <c r="D213" s="2" t="s">
        <v>19</v>
      </c>
      <c r="E213" s="2" t="s">
        <v>437</v>
      </c>
      <c r="F213" s="3" t="s">
        <v>438</v>
      </c>
      <c r="G213" s="3"/>
    </row>
    <row r="214">
      <c r="A214" s="2">
        <v>7.0</v>
      </c>
      <c r="B214" s="2">
        <v>8.0</v>
      </c>
      <c r="C214" s="12" t="s">
        <v>72</v>
      </c>
      <c r="D214" s="2" t="s">
        <v>8</v>
      </c>
      <c r="E214" s="2" t="s">
        <v>439</v>
      </c>
      <c r="F214" s="3" t="s">
        <v>440</v>
      </c>
      <c r="G214" s="3"/>
    </row>
    <row r="215">
      <c r="A215" s="2">
        <v>7.0</v>
      </c>
      <c r="B215" s="2">
        <v>8.0</v>
      </c>
      <c r="C215" s="12" t="s">
        <v>72</v>
      </c>
      <c r="D215" s="2" t="s">
        <v>8</v>
      </c>
      <c r="E215" s="2" t="s">
        <v>441</v>
      </c>
      <c r="F215" s="3" t="s">
        <v>442</v>
      </c>
      <c r="G215" s="3"/>
    </row>
    <row r="216">
      <c r="A216" s="2">
        <v>7.0</v>
      </c>
      <c r="B216" s="2">
        <v>8.0</v>
      </c>
      <c r="C216" s="12" t="s">
        <v>72</v>
      </c>
      <c r="D216" s="2" t="s">
        <v>19</v>
      </c>
      <c r="E216" s="2" t="s">
        <v>443</v>
      </c>
      <c r="F216" s="3" t="s">
        <v>444</v>
      </c>
      <c r="G216" s="3"/>
    </row>
    <row r="217">
      <c r="A217" s="2">
        <v>7.0</v>
      </c>
      <c r="B217" s="2">
        <v>8.0</v>
      </c>
      <c r="C217" s="12" t="s">
        <v>72</v>
      </c>
      <c r="D217" s="2" t="s">
        <v>19</v>
      </c>
      <c r="E217" s="2" t="s">
        <v>445</v>
      </c>
      <c r="F217" s="3" t="s">
        <v>446</v>
      </c>
      <c r="G217" s="3"/>
    </row>
    <row r="218">
      <c r="A218" s="2">
        <v>7.0</v>
      </c>
      <c r="B218" s="2">
        <v>8.0</v>
      </c>
      <c r="C218" s="12" t="s">
        <v>72</v>
      </c>
      <c r="D218" s="2" t="s">
        <v>19</v>
      </c>
      <c r="E218" s="2" t="s">
        <v>447</v>
      </c>
      <c r="F218" s="3" t="s">
        <v>448</v>
      </c>
      <c r="G218" s="3"/>
    </row>
    <row r="219">
      <c r="A219" s="2">
        <v>7.0</v>
      </c>
      <c r="B219" s="2">
        <v>8.0</v>
      </c>
      <c r="C219" s="12" t="s">
        <v>72</v>
      </c>
      <c r="D219" s="2" t="s">
        <v>19</v>
      </c>
      <c r="E219" s="2" t="s">
        <v>449</v>
      </c>
      <c r="F219" s="3" t="s">
        <v>450</v>
      </c>
      <c r="G219" s="3"/>
    </row>
    <row r="220">
      <c r="A220" s="2">
        <v>8.0</v>
      </c>
      <c r="B220" s="2">
        <v>1.0</v>
      </c>
      <c r="C220" s="12" t="s">
        <v>451</v>
      </c>
      <c r="D220" s="2" t="s">
        <v>8</v>
      </c>
      <c r="E220" s="2" t="s">
        <v>452</v>
      </c>
      <c r="F220" s="3" t="s">
        <v>453</v>
      </c>
      <c r="G220" s="3"/>
    </row>
    <row r="221">
      <c r="A221" s="2">
        <v>8.0</v>
      </c>
      <c r="B221" s="2">
        <v>1.0</v>
      </c>
      <c r="C221" s="12" t="s">
        <v>451</v>
      </c>
      <c r="D221" s="2" t="s">
        <v>19</v>
      </c>
      <c r="E221" s="2" t="s">
        <v>454</v>
      </c>
      <c r="F221" s="3" t="s">
        <v>455</v>
      </c>
      <c r="G221" s="3"/>
    </row>
    <row r="222">
      <c r="A222" s="2">
        <v>8.0</v>
      </c>
      <c r="B222" s="2">
        <v>1.0</v>
      </c>
      <c r="C222" s="12" t="s">
        <v>451</v>
      </c>
      <c r="D222" s="2" t="s">
        <v>19</v>
      </c>
      <c r="E222" s="2" t="s">
        <v>456</v>
      </c>
      <c r="F222" s="3" t="s">
        <v>457</v>
      </c>
      <c r="G222" s="3"/>
    </row>
    <row r="223">
      <c r="A223" s="2">
        <v>8.0</v>
      </c>
      <c r="B223" s="2">
        <v>1.0</v>
      </c>
      <c r="C223" s="12" t="s">
        <v>451</v>
      </c>
      <c r="D223" s="2" t="s">
        <v>19</v>
      </c>
      <c r="E223" s="2" t="s">
        <v>458</v>
      </c>
      <c r="F223" s="3" t="s">
        <v>459</v>
      </c>
      <c r="G223" s="3"/>
    </row>
    <row r="224">
      <c r="A224" s="2">
        <v>8.0</v>
      </c>
      <c r="B224" s="2">
        <v>1.0</v>
      </c>
      <c r="C224" s="12" t="s">
        <v>451</v>
      </c>
      <c r="D224" s="2" t="s">
        <v>19</v>
      </c>
      <c r="E224" s="2" t="s">
        <v>460</v>
      </c>
      <c r="F224" s="3" t="s">
        <v>461</v>
      </c>
      <c r="G224" s="3"/>
    </row>
    <row r="225">
      <c r="A225" s="2">
        <v>8.0</v>
      </c>
      <c r="B225" s="2">
        <v>1.0</v>
      </c>
      <c r="C225" s="12" t="s">
        <v>451</v>
      </c>
      <c r="D225" s="2" t="s">
        <v>19</v>
      </c>
      <c r="E225" s="2" t="s">
        <v>462</v>
      </c>
      <c r="F225" s="3" t="s">
        <v>463</v>
      </c>
      <c r="G225" s="3"/>
    </row>
    <row r="226">
      <c r="A226" s="2">
        <v>8.0</v>
      </c>
      <c r="B226" s="2">
        <v>1.0</v>
      </c>
      <c r="C226" s="12" t="s">
        <v>451</v>
      </c>
      <c r="D226" s="2" t="s">
        <v>19</v>
      </c>
      <c r="E226" s="2" t="s">
        <v>464</v>
      </c>
      <c r="F226" s="3" t="s">
        <v>465</v>
      </c>
      <c r="G226" s="3"/>
    </row>
    <row r="227">
      <c r="A227" s="2">
        <v>8.0</v>
      </c>
      <c r="B227" s="2">
        <v>1.0</v>
      </c>
      <c r="C227" s="12" t="s">
        <v>451</v>
      </c>
      <c r="D227" s="2" t="s">
        <v>19</v>
      </c>
      <c r="E227" s="2" t="s">
        <v>466</v>
      </c>
      <c r="F227" s="3" t="s">
        <v>467</v>
      </c>
      <c r="G227" s="3"/>
    </row>
    <row r="228">
      <c r="A228" s="2">
        <v>8.0</v>
      </c>
      <c r="B228" s="2">
        <v>1.0</v>
      </c>
      <c r="C228" s="12" t="s">
        <v>451</v>
      </c>
      <c r="D228" s="2" t="s">
        <v>19</v>
      </c>
      <c r="E228" s="2" t="s">
        <v>468</v>
      </c>
      <c r="F228" s="3" t="s">
        <v>469</v>
      </c>
      <c r="G228" s="3"/>
    </row>
    <row r="229">
      <c r="A229" s="2">
        <v>8.0</v>
      </c>
      <c r="B229" s="2">
        <v>1.0</v>
      </c>
      <c r="C229" s="12" t="s">
        <v>451</v>
      </c>
      <c r="D229" s="2" t="s">
        <v>19</v>
      </c>
      <c r="E229" s="2" t="s">
        <v>470</v>
      </c>
      <c r="F229" s="3" t="s">
        <v>471</v>
      </c>
      <c r="G229" s="3"/>
    </row>
    <row r="230">
      <c r="A230" s="2">
        <v>8.0</v>
      </c>
      <c r="B230" s="2">
        <v>3.0</v>
      </c>
      <c r="C230" s="12" t="s">
        <v>451</v>
      </c>
      <c r="D230" s="2" t="s">
        <v>19</v>
      </c>
      <c r="E230" s="2" t="s">
        <v>472</v>
      </c>
      <c r="F230" s="3" t="s">
        <v>473</v>
      </c>
      <c r="G230" s="3"/>
    </row>
    <row r="231">
      <c r="A231" s="2">
        <v>8.0</v>
      </c>
      <c r="B231" s="2">
        <v>3.0</v>
      </c>
      <c r="C231" s="12" t="s">
        <v>451</v>
      </c>
      <c r="D231" s="2" t="s">
        <v>19</v>
      </c>
      <c r="E231" s="2" t="s">
        <v>474</v>
      </c>
      <c r="F231" s="3" t="s">
        <v>475</v>
      </c>
      <c r="G231" s="3"/>
    </row>
    <row r="232">
      <c r="A232" s="2">
        <v>8.0</v>
      </c>
      <c r="B232" s="2">
        <v>3.0</v>
      </c>
      <c r="C232" s="12" t="s">
        <v>451</v>
      </c>
      <c r="D232" s="2" t="s">
        <v>19</v>
      </c>
      <c r="E232" s="2" t="s">
        <v>476</v>
      </c>
      <c r="F232" s="3" t="s">
        <v>477</v>
      </c>
      <c r="G232" s="3"/>
    </row>
    <row r="233">
      <c r="A233" s="2">
        <v>8.0</v>
      </c>
      <c r="B233" s="2">
        <v>3.0</v>
      </c>
      <c r="C233" s="12" t="s">
        <v>451</v>
      </c>
      <c r="D233" s="2" t="s">
        <v>19</v>
      </c>
      <c r="E233" s="2" t="s">
        <v>478</v>
      </c>
      <c r="F233" s="3" t="s">
        <v>479</v>
      </c>
      <c r="G233" s="3"/>
    </row>
    <row r="234">
      <c r="A234" s="2">
        <v>8.0</v>
      </c>
      <c r="B234" s="2">
        <v>3.0</v>
      </c>
      <c r="C234" s="12" t="s">
        <v>451</v>
      </c>
      <c r="D234" s="2" t="s">
        <v>19</v>
      </c>
      <c r="E234" s="2" t="s">
        <v>480</v>
      </c>
      <c r="F234" s="3" t="s">
        <v>481</v>
      </c>
      <c r="G234" s="3"/>
    </row>
    <row r="235">
      <c r="A235" s="2">
        <v>8.0</v>
      </c>
      <c r="B235" s="2">
        <v>4.0</v>
      </c>
      <c r="C235" s="12" t="s">
        <v>451</v>
      </c>
      <c r="D235" s="2" t="s">
        <v>8</v>
      </c>
      <c r="E235" s="2" t="s">
        <v>482</v>
      </c>
      <c r="F235" s="3" t="s">
        <v>483</v>
      </c>
      <c r="G235" s="3"/>
    </row>
    <row r="236">
      <c r="A236" s="2">
        <v>8.0</v>
      </c>
      <c r="B236" s="2">
        <v>4.0</v>
      </c>
      <c r="C236" s="12" t="s">
        <v>451</v>
      </c>
      <c r="D236" s="2" t="s">
        <v>19</v>
      </c>
      <c r="E236" s="2" t="s">
        <v>484</v>
      </c>
      <c r="F236" s="3" t="s">
        <v>485</v>
      </c>
      <c r="G236" s="3"/>
    </row>
    <row r="237">
      <c r="A237" s="2">
        <v>8.0</v>
      </c>
      <c r="B237" s="2">
        <v>4.0</v>
      </c>
      <c r="C237" s="12" t="s">
        <v>451</v>
      </c>
      <c r="D237" s="2" t="s">
        <v>19</v>
      </c>
      <c r="E237" s="2" t="s">
        <v>486</v>
      </c>
      <c r="F237" s="3" t="s">
        <v>487</v>
      </c>
      <c r="G237" s="3"/>
    </row>
    <row r="238">
      <c r="A238" s="2">
        <v>8.0</v>
      </c>
      <c r="B238" s="2">
        <v>4.0</v>
      </c>
      <c r="C238" s="12" t="s">
        <v>451</v>
      </c>
      <c r="D238" s="2" t="s">
        <v>8</v>
      </c>
      <c r="E238" s="2" t="s">
        <v>488</v>
      </c>
      <c r="F238" s="3" t="s">
        <v>489</v>
      </c>
      <c r="G238" s="3"/>
    </row>
    <row r="239">
      <c r="A239" s="2">
        <v>8.0</v>
      </c>
      <c r="B239" s="2">
        <v>4.0</v>
      </c>
      <c r="C239" s="12" t="s">
        <v>451</v>
      </c>
      <c r="D239" s="2" t="s">
        <v>19</v>
      </c>
      <c r="E239" s="2" t="s">
        <v>490</v>
      </c>
      <c r="F239" s="3" t="s">
        <v>491</v>
      </c>
      <c r="G239" s="3"/>
    </row>
    <row r="240">
      <c r="A240" s="2">
        <v>8.0</v>
      </c>
      <c r="B240" s="2">
        <v>5.0</v>
      </c>
      <c r="C240" s="12" t="s">
        <v>451</v>
      </c>
      <c r="D240" s="2"/>
      <c r="E240" s="13"/>
      <c r="F240" s="14"/>
      <c r="G240" s="3"/>
    </row>
    <row r="241">
      <c r="A241" s="2">
        <v>8.0</v>
      </c>
      <c r="B241" s="2">
        <v>6.0</v>
      </c>
      <c r="C241" s="12" t="s">
        <v>451</v>
      </c>
      <c r="D241" s="2" t="s">
        <v>19</v>
      </c>
      <c r="E241" s="2" t="s">
        <v>492</v>
      </c>
      <c r="F241" s="3" t="s">
        <v>493</v>
      </c>
      <c r="G241" s="3"/>
    </row>
    <row r="242">
      <c r="A242" s="2">
        <v>8.0</v>
      </c>
      <c r="B242" s="2">
        <v>6.0</v>
      </c>
      <c r="C242" s="12" t="s">
        <v>451</v>
      </c>
      <c r="D242" s="2" t="s">
        <v>8</v>
      </c>
      <c r="E242" s="2" t="s">
        <v>494</v>
      </c>
      <c r="F242" s="3" t="s">
        <v>495</v>
      </c>
      <c r="G242" s="3"/>
    </row>
    <row r="243">
      <c r="A243" s="2">
        <v>8.0</v>
      </c>
      <c r="B243" s="2">
        <v>6.0</v>
      </c>
      <c r="C243" s="12" t="s">
        <v>451</v>
      </c>
      <c r="D243" s="2" t="s">
        <v>19</v>
      </c>
      <c r="E243" s="2" t="s">
        <v>496</v>
      </c>
      <c r="F243" s="3" t="s">
        <v>497</v>
      </c>
      <c r="G243" s="3"/>
    </row>
    <row r="244">
      <c r="A244" s="2">
        <v>8.0</v>
      </c>
      <c r="B244" s="2">
        <v>8.0</v>
      </c>
      <c r="C244" s="2" t="s">
        <v>59</v>
      </c>
      <c r="D244" s="2" t="s">
        <v>19</v>
      </c>
      <c r="E244" s="2" t="s">
        <v>498</v>
      </c>
      <c r="F244" s="3" t="s">
        <v>499</v>
      </c>
      <c r="G244" s="3"/>
    </row>
    <row r="245">
      <c r="A245" s="2">
        <v>8.0</v>
      </c>
      <c r="B245" s="2">
        <v>8.0</v>
      </c>
      <c r="C245" s="2" t="s">
        <v>59</v>
      </c>
      <c r="D245" s="2" t="s">
        <v>8</v>
      </c>
      <c r="E245" s="2" t="s">
        <v>500</v>
      </c>
      <c r="F245" s="3" t="s">
        <v>501</v>
      </c>
      <c r="G245" s="3"/>
    </row>
    <row r="246">
      <c r="A246" s="2">
        <v>8.0</v>
      </c>
      <c r="B246" s="2">
        <v>8.0</v>
      </c>
      <c r="C246" s="2" t="s">
        <v>59</v>
      </c>
      <c r="D246" s="2" t="s">
        <v>19</v>
      </c>
      <c r="E246" s="2" t="s">
        <v>502</v>
      </c>
      <c r="F246" s="3" t="s">
        <v>503</v>
      </c>
      <c r="G246" s="3"/>
    </row>
    <row r="247">
      <c r="A247" s="2">
        <v>8.0</v>
      </c>
      <c r="B247" s="2">
        <v>8.0</v>
      </c>
      <c r="C247" s="2" t="s">
        <v>59</v>
      </c>
      <c r="D247" s="2" t="s">
        <v>19</v>
      </c>
      <c r="E247" s="2" t="s">
        <v>504</v>
      </c>
      <c r="F247" s="3" t="s">
        <v>505</v>
      </c>
      <c r="G247" s="3"/>
    </row>
    <row r="248">
      <c r="A248" s="2">
        <v>8.0</v>
      </c>
      <c r="B248" s="2">
        <v>8.0</v>
      </c>
      <c r="C248" s="2" t="s">
        <v>59</v>
      </c>
      <c r="D248" s="2" t="s">
        <v>8</v>
      </c>
      <c r="E248" s="15" t="s">
        <v>506</v>
      </c>
      <c r="F248" s="3" t="s">
        <v>507</v>
      </c>
      <c r="G248" s="3"/>
    </row>
    <row r="249">
      <c r="A249" s="2">
        <v>8.0</v>
      </c>
      <c r="B249" s="2">
        <v>8.0</v>
      </c>
      <c r="C249" s="2" t="s">
        <v>59</v>
      </c>
      <c r="D249" s="2" t="s">
        <v>19</v>
      </c>
      <c r="E249" s="2" t="s">
        <v>508</v>
      </c>
      <c r="F249" s="3" t="s">
        <v>509</v>
      </c>
      <c r="G249" s="3"/>
    </row>
    <row r="250">
      <c r="A250" s="2">
        <v>8.0</v>
      </c>
      <c r="B250" s="2">
        <v>8.0</v>
      </c>
      <c r="C250" s="2" t="s">
        <v>59</v>
      </c>
      <c r="D250" s="2" t="s">
        <v>19</v>
      </c>
      <c r="E250" s="2" t="s">
        <v>510</v>
      </c>
      <c r="F250" s="3" t="s">
        <v>511</v>
      </c>
      <c r="G250" s="3"/>
    </row>
    <row r="251">
      <c r="A251" s="2">
        <v>8.0</v>
      </c>
      <c r="B251" s="2">
        <v>9.0</v>
      </c>
      <c r="C251" s="2" t="s">
        <v>40</v>
      </c>
      <c r="D251" s="2" t="s">
        <v>19</v>
      </c>
      <c r="E251" s="2" t="s">
        <v>512</v>
      </c>
      <c r="F251" s="3" t="s">
        <v>513</v>
      </c>
      <c r="G251" s="3"/>
    </row>
    <row r="252">
      <c r="A252" s="2">
        <v>8.0</v>
      </c>
      <c r="B252" s="2">
        <v>9.0</v>
      </c>
      <c r="C252" s="2" t="s">
        <v>40</v>
      </c>
      <c r="D252" s="2" t="s">
        <v>19</v>
      </c>
      <c r="E252" s="2" t="s">
        <v>514</v>
      </c>
      <c r="F252" s="3" t="s">
        <v>515</v>
      </c>
      <c r="G252" s="3"/>
    </row>
    <row r="253">
      <c r="A253" s="2">
        <v>8.0</v>
      </c>
      <c r="B253" s="2">
        <v>9.0</v>
      </c>
      <c r="C253" s="2" t="s">
        <v>40</v>
      </c>
      <c r="D253" s="2" t="s">
        <v>8</v>
      </c>
      <c r="E253" s="2" t="s">
        <v>516</v>
      </c>
      <c r="F253" s="3" t="s">
        <v>517</v>
      </c>
      <c r="G253" s="3"/>
    </row>
    <row r="254">
      <c r="A254" s="2">
        <v>8.0</v>
      </c>
      <c r="B254" s="2">
        <v>9.0</v>
      </c>
      <c r="C254" s="2" t="s">
        <v>40</v>
      </c>
      <c r="D254" s="2" t="s">
        <v>19</v>
      </c>
      <c r="E254" s="2" t="s">
        <v>518</v>
      </c>
      <c r="F254" s="3" t="s">
        <v>519</v>
      </c>
      <c r="G254" s="3"/>
    </row>
    <row r="255">
      <c r="A255" s="2">
        <v>8.0</v>
      </c>
      <c r="B255" s="2">
        <v>9.0</v>
      </c>
      <c r="C255" s="2" t="s">
        <v>40</v>
      </c>
      <c r="D255" s="2" t="s">
        <v>19</v>
      </c>
      <c r="E255" s="2" t="s">
        <v>520</v>
      </c>
      <c r="F255" s="3" t="s">
        <v>521</v>
      </c>
      <c r="G255" s="3"/>
    </row>
    <row r="256">
      <c r="A256" s="2">
        <v>8.0</v>
      </c>
      <c r="B256" s="2">
        <v>10.0</v>
      </c>
      <c r="C256" s="2" t="s">
        <v>28</v>
      </c>
      <c r="D256" s="2" t="s">
        <v>8</v>
      </c>
      <c r="E256" s="2" t="s">
        <v>522</v>
      </c>
      <c r="F256" s="3" t="s">
        <v>523</v>
      </c>
      <c r="G256" s="3"/>
    </row>
    <row r="257">
      <c r="A257" s="2">
        <v>8.0</v>
      </c>
      <c r="B257" s="2">
        <v>10.0</v>
      </c>
      <c r="C257" s="2" t="s">
        <v>28</v>
      </c>
      <c r="D257" s="2" t="s">
        <v>19</v>
      </c>
      <c r="E257" s="2" t="s">
        <v>524</v>
      </c>
      <c r="F257" s="3" t="s">
        <v>525</v>
      </c>
      <c r="G257" s="3"/>
    </row>
    <row r="258">
      <c r="A258" s="2">
        <v>8.0</v>
      </c>
      <c r="B258" s="2">
        <v>10.0</v>
      </c>
      <c r="C258" s="2" t="s">
        <v>28</v>
      </c>
      <c r="D258" s="2" t="s">
        <v>8</v>
      </c>
      <c r="E258" s="2" t="s">
        <v>526</v>
      </c>
      <c r="F258" s="2" t="s">
        <v>527</v>
      </c>
      <c r="G258" s="3"/>
    </row>
    <row r="259">
      <c r="A259" s="2">
        <v>8.0</v>
      </c>
      <c r="B259" s="2">
        <v>10.0</v>
      </c>
      <c r="C259" s="2" t="s">
        <v>28</v>
      </c>
      <c r="D259" s="2" t="s">
        <v>19</v>
      </c>
      <c r="E259" s="2" t="s">
        <v>528</v>
      </c>
      <c r="F259" s="3" t="s">
        <v>529</v>
      </c>
      <c r="G259" s="3"/>
    </row>
    <row r="260">
      <c r="A260" s="2">
        <v>8.0</v>
      </c>
      <c r="B260" s="2">
        <v>11.0</v>
      </c>
      <c r="C260" s="2" t="s">
        <v>47</v>
      </c>
      <c r="D260" s="2" t="s">
        <v>8</v>
      </c>
      <c r="E260" s="2" t="s">
        <v>530</v>
      </c>
      <c r="F260" s="3" t="s">
        <v>531</v>
      </c>
      <c r="G260" s="3"/>
    </row>
    <row r="261">
      <c r="A261" s="2">
        <v>8.0</v>
      </c>
      <c r="B261" s="2">
        <v>11.0</v>
      </c>
      <c r="C261" s="2" t="s">
        <v>47</v>
      </c>
      <c r="D261" s="2" t="s">
        <v>19</v>
      </c>
      <c r="E261" s="2" t="s">
        <v>532</v>
      </c>
      <c r="F261" s="3" t="s">
        <v>533</v>
      </c>
      <c r="G261" s="3"/>
    </row>
    <row r="262">
      <c r="A262" s="2">
        <v>8.0</v>
      </c>
      <c r="B262" s="2">
        <v>13.0</v>
      </c>
      <c r="C262" s="2" t="s">
        <v>72</v>
      </c>
      <c r="D262" s="2" t="s">
        <v>19</v>
      </c>
      <c r="E262" s="2" t="s">
        <v>534</v>
      </c>
      <c r="F262" s="3" t="s">
        <v>535</v>
      </c>
      <c r="G262" s="3"/>
    </row>
    <row r="263">
      <c r="A263" s="2">
        <v>8.0</v>
      </c>
      <c r="B263" s="2">
        <v>13.0</v>
      </c>
      <c r="C263" s="2" t="s">
        <v>72</v>
      </c>
      <c r="D263" s="2" t="s">
        <v>8</v>
      </c>
      <c r="E263" s="2" t="s">
        <v>536</v>
      </c>
      <c r="F263" s="3" t="s">
        <v>537</v>
      </c>
      <c r="G263" s="3"/>
    </row>
    <row r="264">
      <c r="A264" s="2">
        <v>8.0</v>
      </c>
      <c r="B264" s="2">
        <v>13.0</v>
      </c>
      <c r="C264" s="2" t="s">
        <v>72</v>
      </c>
      <c r="D264" s="2" t="s">
        <v>19</v>
      </c>
      <c r="E264" s="2" t="s">
        <v>538</v>
      </c>
      <c r="F264" s="3" t="s">
        <v>539</v>
      </c>
      <c r="G264" s="3"/>
    </row>
    <row r="265">
      <c r="A265" s="2">
        <v>8.0</v>
      </c>
      <c r="B265" s="2">
        <v>14.0</v>
      </c>
      <c r="C265" s="2" t="s">
        <v>33</v>
      </c>
      <c r="D265" s="2" t="s">
        <v>19</v>
      </c>
      <c r="E265" s="2" t="s">
        <v>540</v>
      </c>
      <c r="F265" s="3" t="s">
        <v>541</v>
      </c>
      <c r="G265" s="3"/>
    </row>
    <row r="266">
      <c r="A266" s="2">
        <v>8.0</v>
      </c>
      <c r="B266" s="2">
        <v>14.0</v>
      </c>
      <c r="C266" s="2" t="s">
        <v>33</v>
      </c>
      <c r="D266" s="2" t="s">
        <v>8</v>
      </c>
      <c r="E266" s="2" t="s">
        <v>542</v>
      </c>
      <c r="F266" s="3" t="s">
        <v>543</v>
      </c>
      <c r="G266" s="3"/>
    </row>
    <row r="267">
      <c r="A267" s="2">
        <v>8.0</v>
      </c>
      <c r="B267" s="2">
        <v>15.0</v>
      </c>
      <c r="C267" s="2" t="s">
        <v>33</v>
      </c>
      <c r="D267" s="2" t="s">
        <v>8</v>
      </c>
      <c r="E267" s="2" t="s">
        <v>544</v>
      </c>
      <c r="F267" s="3" t="s">
        <v>545</v>
      </c>
      <c r="G267" s="3"/>
    </row>
    <row r="268">
      <c r="A268" s="2">
        <v>8.0</v>
      </c>
      <c r="B268" s="2">
        <v>15.0</v>
      </c>
      <c r="C268" s="2" t="s">
        <v>33</v>
      </c>
      <c r="D268" s="2" t="s">
        <v>19</v>
      </c>
      <c r="E268" s="2" t="s">
        <v>546</v>
      </c>
      <c r="F268" s="3" t="s">
        <v>547</v>
      </c>
      <c r="G268" s="3"/>
    </row>
    <row r="269">
      <c r="A269" s="2">
        <v>8.0</v>
      </c>
      <c r="B269" s="2">
        <v>15.0</v>
      </c>
      <c r="C269" s="2" t="s">
        <v>33</v>
      </c>
      <c r="D269" s="2" t="s">
        <v>19</v>
      </c>
      <c r="E269" s="2" t="s">
        <v>548</v>
      </c>
      <c r="F269" s="3" t="s">
        <v>549</v>
      </c>
      <c r="G269" s="3"/>
    </row>
    <row r="270">
      <c r="A270" s="2">
        <v>8.0</v>
      </c>
      <c r="B270" s="2">
        <v>16.0</v>
      </c>
      <c r="C270" s="2" t="s">
        <v>54</v>
      </c>
      <c r="D270" s="2" t="s">
        <v>8</v>
      </c>
      <c r="E270" s="2" t="s">
        <v>550</v>
      </c>
      <c r="F270" s="3" t="s">
        <v>551</v>
      </c>
      <c r="G270" s="3"/>
    </row>
    <row r="271">
      <c r="A271" s="2">
        <v>8.0</v>
      </c>
      <c r="B271" s="2">
        <v>16.0</v>
      </c>
      <c r="C271" s="2" t="s">
        <v>54</v>
      </c>
      <c r="D271" s="2" t="s">
        <v>8</v>
      </c>
      <c r="E271" s="2" t="s">
        <v>552</v>
      </c>
      <c r="F271" s="3" t="s">
        <v>553</v>
      </c>
      <c r="G271" s="3"/>
    </row>
    <row r="272">
      <c r="A272" s="2">
        <v>9.0</v>
      </c>
      <c r="B272" s="2">
        <v>1.0</v>
      </c>
      <c r="C272" s="2" t="s">
        <v>7</v>
      </c>
      <c r="D272" s="2" t="s">
        <v>8</v>
      </c>
      <c r="E272" s="2" t="s">
        <v>554</v>
      </c>
      <c r="F272" s="3" t="s">
        <v>555</v>
      </c>
      <c r="G272" s="3"/>
    </row>
    <row r="273">
      <c r="A273" s="2">
        <v>9.0</v>
      </c>
      <c r="B273" s="2">
        <v>3.0</v>
      </c>
      <c r="C273" s="2" t="s">
        <v>7</v>
      </c>
      <c r="D273" s="2" t="s">
        <v>8</v>
      </c>
      <c r="E273" s="2" t="s">
        <v>556</v>
      </c>
      <c r="F273" s="3" t="s">
        <v>557</v>
      </c>
      <c r="G273" s="3"/>
    </row>
    <row r="274">
      <c r="A274" s="2">
        <v>9.0</v>
      </c>
      <c r="B274" s="2">
        <v>3.0</v>
      </c>
      <c r="C274" s="2" t="s">
        <v>7</v>
      </c>
      <c r="D274" s="2" t="s">
        <v>19</v>
      </c>
      <c r="E274" s="2" t="s">
        <v>558</v>
      </c>
      <c r="F274" s="3" t="s">
        <v>559</v>
      </c>
      <c r="G274" s="3"/>
    </row>
    <row r="275">
      <c r="A275" s="2">
        <v>9.0</v>
      </c>
      <c r="B275" s="2">
        <v>3.0</v>
      </c>
      <c r="C275" s="2" t="s">
        <v>7</v>
      </c>
      <c r="D275" s="2" t="s">
        <v>8</v>
      </c>
      <c r="E275" s="2" t="s">
        <v>560</v>
      </c>
      <c r="F275" s="3" t="s">
        <v>561</v>
      </c>
      <c r="G275" s="3"/>
    </row>
    <row r="276">
      <c r="A276" s="2">
        <v>9.0</v>
      </c>
      <c r="B276" s="2">
        <v>4.0</v>
      </c>
      <c r="C276" s="2" t="s">
        <v>7</v>
      </c>
      <c r="D276" s="2" t="s">
        <v>8</v>
      </c>
      <c r="E276" s="2" t="s">
        <v>562</v>
      </c>
      <c r="F276" s="3" t="s">
        <v>563</v>
      </c>
      <c r="G276" s="3"/>
    </row>
    <row r="277">
      <c r="A277" s="2">
        <v>9.0</v>
      </c>
      <c r="B277" s="2">
        <v>4.0</v>
      </c>
      <c r="C277" s="2" t="s">
        <v>7</v>
      </c>
      <c r="D277" s="2" t="s">
        <v>8</v>
      </c>
      <c r="E277" s="2" t="s">
        <v>564</v>
      </c>
      <c r="F277" s="3" t="s">
        <v>565</v>
      </c>
      <c r="G277" s="3"/>
    </row>
    <row r="278">
      <c r="A278" s="2">
        <v>9.0</v>
      </c>
      <c r="B278" s="2">
        <v>5.0</v>
      </c>
      <c r="C278" s="2" t="s">
        <v>7</v>
      </c>
      <c r="D278" s="2" t="s">
        <v>8</v>
      </c>
      <c r="E278" s="2" t="s">
        <v>566</v>
      </c>
      <c r="F278" s="3" t="s">
        <v>567</v>
      </c>
      <c r="G278" s="3"/>
    </row>
    <row r="279">
      <c r="A279" s="2">
        <v>9.0</v>
      </c>
      <c r="B279" s="2">
        <v>5.0</v>
      </c>
      <c r="C279" s="2" t="s">
        <v>7</v>
      </c>
      <c r="D279" s="2" t="s">
        <v>19</v>
      </c>
      <c r="E279" s="2" t="s">
        <v>568</v>
      </c>
      <c r="F279" s="3" t="s">
        <v>569</v>
      </c>
      <c r="G279" s="3"/>
    </row>
    <row r="280">
      <c r="A280" s="2">
        <v>9.0</v>
      </c>
      <c r="B280" s="2">
        <v>6.0</v>
      </c>
      <c r="C280" s="2" t="s">
        <v>7</v>
      </c>
      <c r="D280" s="13"/>
      <c r="E280" s="13"/>
      <c r="F280" s="14"/>
      <c r="G280" s="3"/>
    </row>
    <row r="281">
      <c r="A281" s="2">
        <v>9.0</v>
      </c>
      <c r="B281" s="2">
        <v>8.0</v>
      </c>
      <c r="C281" s="12" t="s">
        <v>59</v>
      </c>
      <c r="D281" s="2" t="s">
        <v>8</v>
      </c>
      <c r="E281" s="2" t="s">
        <v>570</v>
      </c>
      <c r="F281" s="3" t="s">
        <v>571</v>
      </c>
      <c r="G281" s="3"/>
    </row>
    <row r="282">
      <c r="A282" s="2">
        <v>9.0</v>
      </c>
      <c r="B282" s="2">
        <v>8.0</v>
      </c>
      <c r="C282" s="12" t="s">
        <v>59</v>
      </c>
      <c r="D282" s="2" t="s">
        <v>19</v>
      </c>
      <c r="E282" s="2" t="s">
        <v>572</v>
      </c>
      <c r="F282" s="3" t="s">
        <v>573</v>
      </c>
      <c r="G282" s="3"/>
    </row>
    <row r="283">
      <c r="A283" s="2">
        <v>9.0</v>
      </c>
      <c r="B283" s="2">
        <v>9.0</v>
      </c>
      <c r="C283" s="2" t="s">
        <v>40</v>
      </c>
      <c r="D283" s="2" t="s">
        <v>8</v>
      </c>
      <c r="E283" s="2" t="s">
        <v>574</v>
      </c>
      <c r="F283" s="3" t="s">
        <v>575</v>
      </c>
      <c r="G283" s="3"/>
    </row>
    <row r="284">
      <c r="A284" s="2">
        <v>9.0</v>
      </c>
      <c r="B284" s="2">
        <v>9.0</v>
      </c>
      <c r="C284" s="2" t="s">
        <v>40</v>
      </c>
      <c r="D284" s="2" t="s">
        <v>19</v>
      </c>
      <c r="E284" s="2" t="s">
        <v>576</v>
      </c>
      <c r="F284" s="3" t="s">
        <v>577</v>
      </c>
      <c r="G284" s="3"/>
    </row>
    <row r="285">
      <c r="A285" s="2">
        <v>9.0</v>
      </c>
      <c r="B285" s="2">
        <v>9.0</v>
      </c>
      <c r="C285" s="2" t="s">
        <v>40</v>
      </c>
      <c r="D285" s="2" t="s">
        <v>19</v>
      </c>
      <c r="E285" s="2" t="s">
        <v>578</v>
      </c>
      <c r="F285" s="3" t="s">
        <v>579</v>
      </c>
      <c r="G285" s="3"/>
    </row>
    <row r="286">
      <c r="A286" s="2">
        <v>9.0</v>
      </c>
      <c r="B286" s="2">
        <v>10.0</v>
      </c>
      <c r="C286" s="2" t="s">
        <v>40</v>
      </c>
      <c r="D286" s="2" t="s">
        <v>19</v>
      </c>
      <c r="E286" s="2" t="s">
        <v>580</v>
      </c>
      <c r="F286" s="3" t="s">
        <v>581</v>
      </c>
      <c r="G286" s="3"/>
    </row>
    <row r="287">
      <c r="A287" s="2">
        <v>9.0</v>
      </c>
      <c r="B287" s="2">
        <v>10.0</v>
      </c>
      <c r="C287" s="2" t="s">
        <v>40</v>
      </c>
      <c r="D287" s="2" t="s">
        <v>19</v>
      </c>
      <c r="E287" s="2" t="s">
        <v>582</v>
      </c>
      <c r="F287" s="3" t="s">
        <v>583</v>
      </c>
      <c r="G287" s="3"/>
    </row>
    <row r="288">
      <c r="A288" s="2">
        <v>9.0</v>
      </c>
      <c r="B288" s="2">
        <v>10.0</v>
      </c>
      <c r="C288" s="2" t="s">
        <v>40</v>
      </c>
      <c r="D288" s="2" t="s">
        <v>19</v>
      </c>
      <c r="E288" s="2" t="s">
        <v>584</v>
      </c>
      <c r="F288" s="3" t="s">
        <v>585</v>
      </c>
      <c r="G288" s="3"/>
    </row>
    <row r="289">
      <c r="A289" s="2">
        <v>9.0</v>
      </c>
      <c r="B289" s="2">
        <v>11.0</v>
      </c>
      <c r="C289" s="2" t="s">
        <v>40</v>
      </c>
      <c r="D289" s="2" t="s">
        <v>19</v>
      </c>
      <c r="E289" s="2" t="s">
        <v>586</v>
      </c>
      <c r="F289" s="3" t="s">
        <v>587</v>
      </c>
      <c r="G289" s="3"/>
    </row>
    <row r="290">
      <c r="A290" s="2">
        <v>9.0</v>
      </c>
      <c r="B290" s="2">
        <v>11.0</v>
      </c>
      <c r="C290" s="2" t="s">
        <v>40</v>
      </c>
      <c r="D290" s="2" t="s">
        <v>19</v>
      </c>
      <c r="E290" s="2" t="s">
        <v>588</v>
      </c>
      <c r="F290" s="3" t="s">
        <v>589</v>
      </c>
      <c r="G290" s="3"/>
    </row>
    <row r="291">
      <c r="A291" s="2">
        <v>9.0</v>
      </c>
      <c r="B291" s="2">
        <v>11.0</v>
      </c>
      <c r="C291" s="2" t="s">
        <v>40</v>
      </c>
      <c r="D291" s="2" t="s">
        <v>8</v>
      </c>
      <c r="E291" s="2" t="s">
        <v>590</v>
      </c>
      <c r="F291" s="3" t="s">
        <v>591</v>
      </c>
      <c r="G291" s="3"/>
    </row>
    <row r="292">
      <c r="A292" s="2">
        <v>9.0</v>
      </c>
      <c r="B292" s="2">
        <v>11.0</v>
      </c>
      <c r="C292" s="2" t="s">
        <v>40</v>
      </c>
      <c r="D292" s="2" t="s">
        <v>19</v>
      </c>
      <c r="E292" s="2" t="s">
        <v>592</v>
      </c>
      <c r="F292" s="3" t="s">
        <v>593</v>
      </c>
      <c r="G292" s="3"/>
    </row>
    <row r="293">
      <c r="A293" s="2">
        <v>9.0</v>
      </c>
      <c r="B293" s="2">
        <v>11.0</v>
      </c>
      <c r="C293" s="2" t="s">
        <v>40</v>
      </c>
      <c r="D293" s="2" t="s">
        <v>19</v>
      </c>
      <c r="E293" s="2" t="s">
        <v>594</v>
      </c>
      <c r="F293" s="3" t="s">
        <v>595</v>
      </c>
      <c r="G293" s="3"/>
    </row>
    <row r="294">
      <c r="A294" s="2">
        <v>9.0</v>
      </c>
      <c r="B294" s="2">
        <v>13.0</v>
      </c>
      <c r="C294" s="2" t="s">
        <v>28</v>
      </c>
      <c r="D294" s="2" t="s">
        <v>8</v>
      </c>
      <c r="E294" s="2" t="s">
        <v>596</v>
      </c>
      <c r="F294" s="3" t="s">
        <v>597</v>
      </c>
      <c r="G294" s="3"/>
    </row>
    <row r="295">
      <c r="A295" s="2">
        <v>9.0</v>
      </c>
      <c r="B295" s="2">
        <v>14.0</v>
      </c>
      <c r="C295" s="2" t="s">
        <v>28</v>
      </c>
      <c r="D295" s="2" t="s">
        <v>19</v>
      </c>
      <c r="E295" s="2" t="s">
        <v>598</v>
      </c>
      <c r="F295" s="3" t="s">
        <v>599</v>
      </c>
      <c r="G295" s="3"/>
    </row>
    <row r="296">
      <c r="A296" s="2">
        <v>9.0</v>
      </c>
      <c r="B296" s="2">
        <v>15.0</v>
      </c>
      <c r="C296" s="12" t="s">
        <v>47</v>
      </c>
      <c r="D296" s="2" t="s">
        <v>8</v>
      </c>
      <c r="E296" s="2" t="s">
        <v>600</v>
      </c>
      <c r="F296" s="3" t="s">
        <v>601</v>
      </c>
      <c r="G296" s="3"/>
    </row>
    <row r="297">
      <c r="A297" s="2">
        <v>9.0</v>
      </c>
      <c r="B297" s="2">
        <v>15.0</v>
      </c>
      <c r="C297" s="12" t="s">
        <v>47</v>
      </c>
      <c r="D297" s="2" t="s">
        <v>8</v>
      </c>
      <c r="E297" s="2" t="s">
        <v>602</v>
      </c>
      <c r="F297" s="3" t="s">
        <v>603</v>
      </c>
      <c r="G297" s="3"/>
    </row>
    <row r="298">
      <c r="A298" s="2">
        <v>9.0</v>
      </c>
      <c r="B298" s="2">
        <v>16.0</v>
      </c>
      <c r="C298" s="12" t="s">
        <v>47</v>
      </c>
      <c r="D298" s="2" t="s">
        <v>8</v>
      </c>
      <c r="E298" s="2" t="s">
        <v>604</v>
      </c>
      <c r="F298" s="3" t="s">
        <v>605</v>
      </c>
      <c r="G298" s="3"/>
    </row>
    <row r="299">
      <c r="A299" s="2">
        <v>9.0</v>
      </c>
      <c r="B299" s="2">
        <v>16.0</v>
      </c>
      <c r="C299" s="12" t="s">
        <v>47</v>
      </c>
      <c r="D299" s="2" t="s">
        <v>19</v>
      </c>
      <c r="E299" s="2" t="s">
        <v>606</v>
      </c>
      <c r="F299" s="3" t="s">
        <v>467</v>
      </c>
      <c r="G299" s="3"/>
    </row>
    <row r="300">
      <c r="A300" s="2">
        <v>9.0</v>
      </c>
      <c r="B300" s="2">
        <v>16.0</v>
      </c>
      <c r="C300" s="12" t="s">
        <v>47</v>
      </c>
      <c r="D300" s="2" t="s">
        <v>19</v>
      </c>
      <c r="E300" s="2" t="s">
        <v>607</v>
      </c>
      <c r="F300" s="3" t="s">
        <v>608</v>
      </c>
      <c r="G300" s="3"/>
    </row>
    <row r="301">
      <c r="A301" s="2">
        <v>9.0</v>
      </c>
      <c r="B301" s="2">
        <v>18.0</v>
      </c>
      <c r="C301" s="2" t="s">
        <v>72</v>
      </c>
      <c r="D301" s="2" t="s">
        <v>8</v>
      </c>
      <c r="E301" s="2" t="s">
        <v>609</v>
      </c>
      <c r="F301" s="3" t="s">
        <v>610</v>
      </c>
      <c r="G301" s="3"/>
    </row>
    <row r="302">
      <c r="A302" s="2">
        <v>9.0</v>
      </c>
      <c r="B302" s="2">
        <v>19.0</v>
      </c>
      <c r="C302" s="2" t="s">
        <v>72</v>
      </c>
      <c r="D302" s="2" t="s">
        <v>19</v>
      </c>
      <c r="E302" s="2" t="s">
        <v>611</v>
      </c>
      <c r="F302" s="3" t="s">
        <v>612</v>
      </c>
      <c r="G302" s="3"/>
    </row>
    <row r="303">
      <c r="A303" s="2">
        <v>9.0</v>
      </c>
      <c r="B303" s="2">
        <v>20.0</v>
      </c>
      <c r="C303" s="2" t="s">
        <v>72</v>
      </c>
      <c r="D303" s="2" t="s">
        <v>19</v>
      </c>
      <c r="E303" s="2" t="s">
        <v>613</v>
      </c>
      <c r="F303" s="3" t="s">
        <v>614</v>
      </c>
      <c r="G303" s="3"/>
    </row>
    <row r="304">
      <c r="A304" s="2">
        <v>9.0</v>
      </c>
      <c r="B304" s="2">
        <v>21.0</v>
      </c>
      <c r="C304" s="2" t="s">
        <v>72</v>
      </c>
      <c r="D304" s="2" t="s">
        <v>8</v>
      </c>
      <c r="E304" s="2" t="s">
        <v>615</v>
      </c>
      <c r="F304" s="3" t="s">
        <v>616</v>
      </c>
      <c r="G304" s="3"/>
    </row>
    <row r="305">
      <c r="A305" s="2">
        <v>9.0</v>
      </c>
      <c r="B305" s="2">
        <v>23.0</v>
      </c>
      <c r="C305" s="2" t="s">
        <v>33</v>
      </c>
      <c r="D305" s="2" t="s">
        <v>19</v>
      </c>
      <c r="E305" s="2" t="s">
        <v>617</v>
      </c>
      <c r="F305" s="3" t="s">
        <v>618</v>
      </c>
      <c r="G305" s="3"/>
    </row>
    <row r="306">
      <c r="A306" s="2">
        <v>9.0</v>
      </c>
      <c r="B306" s="2">
        <v>23.0</v>
      </c>
      <c r="C306" s="2" t="s">
        <v>33</v>
      </c>
      <c r="D306" s="2" t="s">
        <v>19</v>
      </c>
      <c r="E306" s="2" t="s">
        <v>619</v>
      </c>
      <c r="F306" s="3" t="s">
        <v>620</v>
      </c>
      <c r="G306" s="3"/>
    </row>
    <row r="307">
      <c r="A307" s="2">
        <v>9.0</v>
      </c>
      <c r="B307" s="2">
        <v>24.0</v>
      </c>
      <c r="C307" s="2" t="s">
        <v>54</v>
      </c>
      <c r="D307" s="2" t="s">
        <v>19</v>
      </c>
      <c r="E307" s="2" t="s">
        <v>621</v>
      </c>
      <c r="F307" s="3" t="s">
        <v>622</v>
      </c>
      <c r="G307" s="3"/>
    </row>
    <row r="308">
      <c r="A308" s="2">
        <v>9.0</v>
      </c>
      <c r="B308" s="2">
        <v>25.0</v>
      </c>
      <c r="C308" s="2" t="s">
        <v>54</v>
      </c>
      <c r="D308" s="2" t="s">
        <v>19</v>
      </c>
      <c r="E308" s="2" t="s">
        <v>623</v>
      </c>
      <c r="F308" s="3" t="s">
        <v>624</v>
      </c>
      <c r="G308" s="3"/>
    </row>
    <row r="309">
      <c r="A309" s="2">
        <v>9.0</v>
      </c>
      <c r="B309" s="2">
        <v>26.0</v>
      </c>
      <c r="C309" s="2" t="s">
        <v>54</v>
      </c>
      <c r="D309" s="2" t="s">
        <v>8</v>
      </c>
      <c r="E309" s="2" t="s">
        <v>625</v>
      </c>
      <c r="F309" s="3" t="s">
        <v>626</v>
      </c>
      <c r="G309" s="3"/>
    </row>
    <row r="310">
      <c r="A310" s="2">
        <v>10.0</v>
      </c>
      <c r="B310" s="2">
        <v>1.0</v>
      </c>
      <c r="C310" s="2" t="s">
        <v>451</v>
      </c>
      <c r="D310" s="13"/>
      <c r="E310" s="13"/>
      <c r="F310" s="14"/>
      <c r="G310" s="3"/>
    </row>
    <row r="311">
      <c r="A311" s="2">
        <v>10.0</v>
      </c>
      <c r="B311" s="2">
        <v>3.0</v>
      </c>
      <c r="C311" s="2" t="s">
        <v>7</v>
      </c>
      <c r="D311" s="2" t="s">
        <v>8</v>
      </c>
      <c r="E311" s="2" t="s">
        <v>627</v>
      </c>
      <c r="F311" s="3" t="s">
        <v>628</v>
      </c>
      <c r="G311" s="3"/>
    </row>
    <row r="312">
      <c r="A312" s="2">
        <v>10.0</v>
      </c>
      <c r="B312" s="2">
        <v>4.0</v>
      </c>
      <c r="C312" s="2" t="s">
        <v>7</v>
      </c>
      <c r="D312" s="2" t="s">
        <v>8</v>
      </c>
      <c r="E312" s="2" t="s">
        <v>629</v>
      </c>
      <c r="F312" s="3" t="s">
        <v>630</v>
      </c>
      <c r="G312" s="3"/>
    </row>
    <row r="313">
      <c r="A313" s="2">
        <v>10.0</v>
      </c>
      <c r="B313" s="2">
        <v>5.0</v>
      </c>
      <c r="C313" s="2" t="s">
        <v>7</v>
      </c>
      <c r="D313" s="2" t="s">
        <v>8</v>
      </c>
      <c r="E313" s="2" t="s">
        <v>631</v>
      </c>
      <c r="F313" s="3" t="s">
        <v>632</v>
      </c>
      <c r="G313" s="3"/>
    </row>
    <row r="314">
      <c r="A314" s="2">
        <v>10.0</v>
      </c>
      <c r="B314" s="2">
        <v>5.0</v>
      </c>
      <c r="C314" s="2" t="s">
        <v>7</v>
      </c>
      <c r="D314" s="2" t="s">
        <v>8</v>
      </c>
      <c r="E314" s="2" t="s">
        <v>633</v>
      </c>
      <c r="F314" s="3" t="s">
        <v>634</v>
      </c>
      <c r="G314" s="3"/>
    </row>
    <row r="315">
      <c r="A315" s="2">
        <v>10.0</v>
      </c>
      <c r="B315" s="2">
        <v>6.0</v>
      </c>
      <c r="C315" s="2" t="s">
        <v>7</v>
      </c>
      <c r="D315" s="2" t="s">
        <v>8</v>
      </c>
      <c r="E315" s="2" t="s">
        <v>635</v>
      </c>
      <c r="F315" s="3" t="s">
        <v>636</v>
      </c>
      <c r="G315" s="3"/>
    </row>
    <row r="316">
      <c r="A316" s="2">
        <v>10.0</v>
      </c>
      <c r="B316" s="2">
        <v>6.0</v>
      </c>
      <c r="C316" s="2" t="s">
        <v>7</v>
      </c>
      <c r="D316" s="2" t="s">
        <v>19</v>
      </c>
      <c r="E316" s="2" t="s">
        <v>637</v>
      </c>
      <c r="F316" s="3" t="s">
        <v>638</v>
      </c>
      <c r="G316" s="3"/>
    </row>
    <row r="317">
      <c r="A317" s="2">
        <v>10.0</v>
      </c>
      <c r="B317" s="2">
        <v>8.0</v>
      </c>
      <c r="C317" s="2" t="s">
        <v>7</v>
      </c>
      <c r="D317" s="2" t="s">
        <v>19</v>
      </c>
      <c r="E317" s="2" t="s">
        <v>639</v>
      </c>
      <c r="F317" s="3" t="s">
        <v>640</v>
      </c>
      <c r="G317" s="3"/>
    </row>
    <row r="318">
      <c r="A318" s="2">
        <v>10.0</v>
      </c>
      <c r="B318" s="2">
        <v>8.0</v>
      </c>
      <c r="C318" s="2" t="s">
        <v>7</v>
      </c>
      <c r="D318" s="2" t="s">
        <v>19</v>
      </c>
      <c r="E318" s="2" t="s">
        <v>641</v>
      </c>
      <c r="F318" s="3" t="s">
        <v>642</v>
      </c>
      <c r="G318" s="3"/>
    </row>
    <row r="319">
      <c r="A319" s="2">
        <v>10.0</v>
      </c>
      <c r="B319" s="2">
        <v>9.0</v>
      </c>
      <c r="C319" s="2" t="s">
        <v>7</v>
      </c>
      <c r="D319" s="2" t="s">
        <v>19</v>
      </c>
      <c r="E319" s="2" t="s">
        <v>643</v>
      </c>
      <c r="F319" s="3" t="s">
        <v>644</v>
      </c>
      <c r="G319" s="3"/>
    </row>
    <row r="320">
      <c r="A320" s="2">
        <v>10.0</v>
      </c>
      <c r="B320" s="2">
        <v>9.0</v>
      </c>
      <c r="C320" s="2" t="s">
        <v>7</v>
      </c>
      <c r="D320" s="2" t="s">
        <v>8</v>
      </c>
      <c r="E320" s="11" t="s">
        <v>645</v>
      </c>
      <c r="F320" s="3" t="s">
        <v>646</v>
      </c>
      <c r="G320" s="3"/>
    </row>
    <row r="321">
      <c r="A321" s="2">
        <v>10.0</v>
      </c>
      <c r="B321" s="2">
        <v>9.0</v>
      </c>
      <c r="C321" s="2" t="s">
        <v>7</v>
      </c>
      <c r="D321" s="2" t="s">
        <v>19</v>
      </c>
      <c r="E321" s="2" t="s">
        <v>647</v>
      </c>
      <c r="F321" s="3" t="s">
        <v>648</v>
      </c>
      <c r="G321" s="3"/>
    </row>
    <row r="322">
      <c r="A322" s="2">
        <v>10.0</v>
      </c>
      <c r="B322" s="2">
        <v>10.0</v>
      </c>
      <c r="C322" s="2" t="s">
        <v>7</v>
      </c>
      <c r="D322" s="13"/>
      <c r="E322" s="13"/>
      <c r="F322" s="14"/>
      <c r="G322" s="3"/>
    </row>
    <row r="323">
      <c r="A323" s="2">
        <v>10.0</v>
      </c>
      <c r="B323" s="2">
        <v>11.0</v>
      </c>
      <c r="C323" s="12" t="s">
        <v>59</v>
      </c>
      <c r="D323" s="2" t="s">
        <v>19</v>
      </c>
      <c r="E323" s="2" t="s">
        <v>649</v>
      </c>
      <c r="F323" s="3" t="s">
        <v>650</v>
      </c>
      <c r="G323" s="3"/>
    </row>
    <row r="324">
      <c r="A324" s="2">
        <v>10.0</v>
      </c>
      <c r="B324" s="2">
        <v>11.0</v>
      </c>
      <c r="C324" s="12" t="s">
        <v>59</v>
      </c>
      <c r="D324" s="2" t="s">
        <v>19</v>
      </c>
      <c r="E324" s="2" t="s">
        <v>651</v>
      </c>
      <c r="F324" s="3" t="s">
        <v>652</v>
      </c>
      <c r="G324" s="3"/>
    </row>
    <row r="325">
      <c r="A325" s="2">
        <v>10.0</v>
      </c>
      <c r="B325" s="2">
        <v>13.0</v>
      </c>
      <c r="C325" s="12" t="s">
        <v>59</v>
      </c>
      <c r="D325" s="2" t="s">
        <v>19</v>
      </c>
      <c r="E325" s="2" t="s">
        <v>653</v>
      </c>
      <c r="F325" s="3" t="s">
        <v>654</v>
      </c>
      <c r="G325" s="3"/>
    </row>
    <row r="326">
      <c r="A326" s="2">
        <v>10.0</v>
      </c>
      <c r="B326" s="2">
        <v>13.0</v>
      </c>
      <c r="C326" s="12" t="s">
        <v>59</v>
      </c>
      <c r="D326" s="2" t="s">
        <v>19</v>
      </c>
      <c r="E326" s="2" t="s">
        <v>655</v>
      </c>
      <c r="F326" s="3" t="s">
        <v>656</v>
      </c>
      <c r="G326" s="3"/>
    </row>
    <row r="327">
      <c r="A327" s="2">
        <v>10.0</v>
      </c>
      <c r="B327" s="2">
        <v>14.0</v>
      </c>
      <c r="C327" s="2" t="s">
        <v>40</v>
      </c>
      <c r="D327" s="2" t="s">
        <v>19</v>
      </c>
      <c r="E327" s="2" t="s">
        <v>657</v>
      </c>
      <c r="F327" s="3" t="s">
        <v>658</v>
      </c>
      <c r="G327" s="3"/>
    </row>
    <row r="328">
      <c r="A328" s="2">
        <v>10.0</v>
      </c>
      <c r="B328" s="2">
        <v>15.0</v>
      </c>
      <c r="C328" s="2" t="s">
        <v>40</v>
      </c>
      <c r="D328" s="2" t="s">
        <v>19</v>
      </c>
      <c r="E328" s="2" t="s">
        <v>659</v>
      </c>
      <c r="F328" s="3" t="s">
        <v>660</v>
      </c>
      <c r="G328" s="3"/>
    </row>
    <row r="329">
      <c r="A329" s="2">
        <v>10.0</v>
      </c>
      <c r="B329" s="2">
        <v>15.0</v>
      </c>
      <c r="C329" s="2" t="s">
        <v>40</v>
      </c>
      <c r="D329" s="2" t="s">
        <v>19</v>
      </c>
      <c r="E329" s="11" t="s">
        <v>661</v>
      </c>
      <c r="F329" s="3" t="s">
        <v>662</v>
      </c>
      <c r="G329" s="3"/>
    </row>
    <row r="330">
      <c r="A330" s="2">
        <v>10.0</v>
      </c>
      <c r="B330" s="2">
        <v>15.0</v>
      </c>
      <c r="C330" s="2" t="s">
        <v>40</v>
      </c>
      <c r="D330" s="2" t="s">
        <v>19</v>
      </c>
      <c r="E330" s="2" t="s">
        <v>663</v>
      </c>
      <c r="F330" s="3" t="s">
        <v>664</v>
      </c>
      <c r="G330" s="3"/>
    </row>
    <row r="331">
      <c r="A331" s="2">
        <v>10.0</v>
      </c>
      <c r="B331" s="2">
        <v>15.0</v>
      </c>
      <c r="C331" s="2" t="s">
        <v>40</v>
      </c>
      <c r="D331" s="2" t="s">
        <v>19</v>
      </c>
      <c r="E331" s="2" t="s">
        <v>665</v>
      </c>
      <c r="F331" s="3" t="s">
        <v>666</v>
      </c>
      <c r="G331" s="3"/>
    </row>
    <row r="332">
      <c r="A332" s="2">
        <v>10.0</v>
      </c>
      <c r="B332" s="2">
        <v>16.0</v>
      </c>
      <c r="C332" s="2" t="s">
        <v>28</v>
      </c>
      <c r="D332" s="2" t="s">
        <v>19</v>
      </c>
      <c r="E332" s="2" t="s">
        <v>667</v>
      </c>
      <c r="F332" s="3" t="s">
        <v>668</v>
      </c>
      <c r="G332" s="3"/>
    </row>
    <row r="333">
      <c r="A333" s="2">
        <v>10.0</v>
      </c>
      <c r="B333" s="2">
        <v>18.0</v>
      </c>
      <c r="C333" s="2" t="s">
        <v>28</v>
      </c>
      <c r="D333" s="2" t="s">
        <v>8</v>
      </c>
      <c r="E333" s="2" t="s">
        <v>669</v>
      </c>
      <c r="F333" s="3" t="s">
        <v>670</v>
      </c>
      <c r="G333" s="3"/>
    </row>
    <row r="334">
      <c r="A334" s="2">
        <v>10.0</v>
      </c>
      <c r="B334" s="2">
        <v>19.0</v>
      </c>
      <c r="C334" s="12" t="s">
        <v>47</v>
      </c>
      <c r="D334" s="2" t="s">
        <v>8</v>
      </c>
      <c r="E334" s="2" t="s">
        <v>671</v>
      </c>
      <c r="F334" s="3" t="s">
        <v>672</v>
      </c>
      <c r="G334" s="3"/>
    </row>
    <row r="335">
      <c r="A335" s="2">
        <v>10.0</v>
      </c>
      <c r="B335" s="2">
        <v>19.0</v>
      </c>
      <c r="C335" s="12" t="s">
        <v>47</v>
      </c>
      <c r="D335" s="2" t="s">
        <v>8</v>
      </c>
      <c r="E335" s="2" t="s">
        <v>673</v>
      </c>
      <c r="F335" s="3" t="s">
        <v>674</v>
      </c>
      <c r="G335" s="3"/>
    </row>
    <row r="336">
      <c r="A336" s="2">
        <v>10.0</v>
      </c>
      <c r="B336" s="2">
        <v>20.0</v>
      </c>
      <c r="C336" s="2" t="s">
        <v>72</v>
      </c>
      <c r="D336" s="2" t="s">
        <v>19</v>
      </c>
      <c r="E336" s="2" t="s">
        <v>675</v>
      </c>
      <c r="F336" s="3" t="s">
        <v>676</v>
      </c>
      <c r="G336" s="3"/>
    </row>
    <row r="337">
      <c r="A337" s="2">
        <v>10.0</v>
      </c>
      <c r="B337" s="2">
        <v>21.0</v>
      </c>
      <c r="C337" s="2" t="s">
        <v>72</v>
      </c>
      <c r="D337" s="2" t="s">
        <v>19</v>
      </c>
      <c r="E337" s="2" t="s">
        <v>677</v>
      </c>
      <c r="F337" s="3" t="s">
        <v>678</v>
      </c>
      <c r="G337" s="3"/>
    </row>
    <row r="338">
      <c r="A338" s="2">
        <v>10.0</v>
      </c>
      <c r="B338" s="2">
        <v>23.0</v>
      </c>
      <c r="C338" s="2" t="s">
        <v>33</v>
      </c>
      <c r="D338" s="2" t="s">
        <v>19</v>
      </c>
      <c r="E338" s="2" t="s">
        <v>679</v>
      </c>
      <c r="F338" s="3" t="s">
        <v>680</v>
      </c>
      <c r="G338" s="3"/>
    </row>
    <row r="339">
      <c r="A339" s="2">
        <v>10.0</v>
      </c>
      <c r="B339" s="2">
        <v>24.0</v>
      </c>
      <c r="C339" s="2" t="s">
        <v>33</v>
      </c>
      <c r="D339" s="2" t="s">
        <v>19</v>
      </c>
      <c r="E339" s="2" t="s">
        <v>681</v>
      </c>
      <c r="F339" s="3" t="s">
        <v>682</v>
      </c>
      <c r="G339" s="3"/>
    </row>
    <row r="340">
      <c r="A340" s="2">
        <v>10.0</v>
      </c>
      <c r="B340" s="2">
        <v>24.0</v>
      </c>
      <c r="C340" s="2" t="s">
        <v>33</v>
      </c>
      <c r="D340" s="2" t="s">
        <v>8</v>
      </c>
      <c r="E340" s="2" t="s">
        <v>683</v>
      </c>
      <c r="F340" s="3" t="s">
        <v>684</v>
      </c>
      <c r="G340" s="3"/>
    </row>
    <row r="341">
      <c r="A341" s="2">
        <v>10.0</v>
      </c>
      <c r="B341" s="2">
        <v>25.0</v>
      </c>
      <c r="C341" s="2" t="s">
        <v>54</v>
      </c>
      <c r="D341" s="2" t="s">
        <v>8</v>
      </c>
      <c r="E341" s="2" t="s">
        <v>685</v>
      </c>
      <c r="F341" s="3" t="s">
        <v>686</v>
      </c>
      <c r="G341" s="3"/>
    </row>
    <row r="342">
      <c r="A342" s="2">
        <v>10.0</v>
      </c>
      <c r="B342" s="2">
        <v>25.0</v>
      </c>
      <c r="C342" s="2" t="s">
        <v>54</v>
      </c>
      <c r="D342" s="2" t="s">
        <v>8</v>
      </c>
      <c r="E342" s="2" t="s">
        <v>687</v>
      </c>
      <c r="F342" s="3" t="s">
        <v>688</v>
      </c>
      <c r="G342" s="3"/>
    </row>
    <row r="343">
      <c r="A343" s="2">
        <v>10.0</v>
      </c>
      <c r="B343" s="2">
        <v>26.0</v>
      </c>
      <c r="C343" s="2" t="s">
        <v>54</v>
      </c>
      <c r="D343" s="13"/>
      <c r="E343" s="13"/>
      <c r="F343" s="14"/>
      <c r="G343" s="3"/>
    </row>
    <row r="344">
      <c r="A344" s="2">
        <v>10.0</v>
      </c>
      <c r="B344" s="2">
        <v>28.0</v>
      </c>
      <c r="C344" s="2" t="s">
        <v>176</v>
      </c>
      <c r="D344" s="2" t="s">
        <v>8</v>
      </c>
      <c r="E344" s="2" t="s">
        <v>689</v>
      </c>
      <c r="F344" s="3" t="s">
        <v>690</v>
      </c>
      <c r="G344" s="3"/>
    </row>
    <row r="345">
      <c r="A345" s="2">
        <v>10.0</v>
      </c>
      <c r="B345" s="2">
        <v>28.0</v>
      </c>
      <c r="C345" s="2" t="s">
        <v>176</v>
      </c>
      <c r="D345" s="2" t="s">
        <v>19</v>
      </c>
      <c r="E345" s="2" t="s">
        <v>691</v>
      </c>
      <c r="F345" s="3" t="s">
        <v>692</v>
      </c>
      <c r="G345" s="3"/>
    </row>
    <row r="346">
      <c r="A346" s="2">
        <v>10.0</v>
      </c>
      <c r="B346" s="2">
        <v>28.0</v>
      </c>
      <c r="C346" s="2" t="s">
        <v>176</v>
      </c>
      <c r="D346" s="2" t="s">
        <v>8</v>
      </c>
      <c r="E346" s="2" t="s">
        <v>693</v>
      </c>
      <c r="F346" s="3" t="s">
        <v>694</v>
      </c>
      <c r="G346" s="3"/>
    </row>
    <row r="347">
      <c r="A347" s="2">
        <v>10.0</v>
      </c>
      <c r="B347" s="2">
        <v>29.0</v>
      </c>
      <c r="C347" s="2" t="s">
        <v>176</v>
      </c>
      <c r="D347" s="13"/>
      <c r="E347" s="13"/>
      <c r="F347" s="14"/>
      <c r="G347" s="3"/>
    </row>
    <row r="348">
      <c r="A348" s="2">
        <v>10.0</v>
      </c>
      <c r="B348" s="2">
        <v>30.0</v>
      </c>
      <c r="C348" s="2" t="s">
        <v>176</v>
      </c>
      <c r="D348" s="2" t="s">
        <v>8</v>
      </c>
      <c r="E348" s="2" t="s">
        <v>695</v>
      </c>
      <c r="F348" s="3" t="s">
        <v>696</v>
      </c>
      <c r="G348" s="3"/>
    </row>
    <row r="349">
      <c r="A349" s="2">
        <v>10.0</v>
      </c>
      <c r="B349" s="2">
        <v>31.0</v>
      </c>
      <c r="C349" s="2" t="s">
        <v>176</v>
      </c>
      <c r="D349" s="2" t="s">
        <v>19</v>
      </c>
      <c r="E349" s="2" t="s">
        <v>697</v>
      </c>
      <c r="F349" s="3" t="s">
        <v>698</v>
      </c>
      <c r="G349" s="3"/>
    </row>
    <row r="350">
      <c r="A350" s="2">
        <v>11.0</v>
      </c>
      <c r="B350" s="2">
        <v>1.0</v>
      </c>
      <c r="C350" s="2" t="s">
        <v>451</v>
      </c>
      <c r="D350" s="13"/>
      <c r="E350" s="13"/>
      <c r="F350" s="14"/>
      <c r="G350" s="3"/>
    </row>
    <row r="351">
      <c r="A351" s="2">
        <v>11.0</v>
      </c>
      <c r="B351" s="2">
        <v>3.0</v>
      </c>
      <c r="C351" s="2" t="s">
        <v>7</v>
      </c>
      <c r="D351" s="2" t="s">
        <v>8</v>
      </c>
      <c r="E351" s="2" t="s">
        <v>699</v>
      </c>
      <c r="F351" s="3" t="s">
        <v>700</v>
      </c>
      <c r="G351" s="3"/>
    </row>
    <row r="352">
      <c r="A352" s="2">
        <v>11.0</v>
      </c>
      <c r="B352" s="2">
        <v>3.0</v>
      </c>
      <c r="C352" s="2" t="s">
        <v>7</v>
      </c>
      <c r="D352" s="2" t="s">
        <v>19</v>
      </c>
      <c r="E352" s="2" t="s">
        <v>701</v>
      </c>
      <c r="F352" s="3" t="s">
        <v>702</v>
      </c>
      <c r="G352" s="3"/>
    </row>
    <row r="353">
      <c r="A353" s="2">
        <v>11.0</v>
      </c>
      <c r="B353" s="2">
        <v>4.0</v>
      </c>
      <c r="C353" s="2" t="s">
        <v>7</v>
      </c>
      <c r="D353" s="2" t="s">
        <v>19</v>
      </c>
      <c r="E353" s="2" t="s">
        <v>703</v>
      </c>
      <c r="F353" s="3" t="s">
        <v>704</v>
      </c>
      <c r="G353" s="3"/>
    </row>
    <row r="354">
      <c r="A354" s="2">
        <v>11.0</v>
      </c>
      <c r="B354" s="2">
        <v>5.0</v>
      </c>
      <c r="C354" s="2" t="s">
        <v>7</v>
      </c>
      <c r="D354" s="2" t="s">
        <v>19</v>
      </c>
      <c r="E354" s="2" t="s">
        <v>705</v>
      </c>
      <c r="F354" s="3" t="s">
        <v>706</v>
      </c>
      <c r="G354" s="3"/>
    </row>
    <row r="355">
      <c r="A355" s="2">
        <v>11.0</v>
      </c>
      <c r="B355" s="2">
        <v>5.0</v>
      </c>
      <c r="C355" s="2" t="s">
        <v>7</v>
      </c>
      <c r="D355" s="2" t="s">
        <v>19</v>
      </c>
      <c r="E355" s="2" t="s">
        <v>707</v>
      </c>
      <c r="F355" s="3" t="s">
        <v>708</v>
      </c>
      <c r="G355" s="3"/>
    </row>
    <row r="356">
      <c r="A356" s="2">
        <v>11.0</v>
      </c>
      <c r="B356" s="2">
        <v>6.0</v>
      </c>
      <c r="C356" s="2" t="s">
        <v>7</v>
      </c>
      <c r="D356" s="2" t="s">
        <v>8</v>
      </c>
      <c r="E356" s="2" t="s">
        <v>709</v>
      </c>
      <c r="F356" s="3" t="s">
        <v>710</v>
      </c>
      <c r="G356" s="3"/>
    </row>
    <row r="357">
      <c r="A357" s="2">
        <v>11.0</v>
      </c>
      <c r="B357" s="2">
        <v>8.0</v>
      </c>
      <c r="C357" s="12" t="s">
        <v>59</v>
      </c>
      <c r="D357" s="2" t="s">
        <v>19</v>
      </c>
      <c r="E357" s="2" t="s">
        <v>711</v>
      </c>
      <c r="F357" s="3" t="s">
        <v>712</v>
      </c>
      <c r="G357" s="3"/>
    </row>
    <row r="358">
      <c r="A358" s="2">
        <v>11.0</v>
      </c>
      <c r="B358" s="2">
        <v>8.0</v>
      </c>
      <c r="C358" s="12" t="s">
        <v>59</v>
      </c>
      <c r="D358" s="2" t="s">
        <v>8</v>
      </c>
      <c r="E358" s="2" t="s">
        <v>713</v>
      </c>
      <c r="F358" s="3" t="s">
        <v>714</v>
      </c>
      <c r="G358" s="3"/>
    </row>
    <row r="359">
      <c r="A359" s="2">
        <v>11.0</v>
      </c>
      <c r="B359" s="2">
        <v>8.0</v>
      </c>
      <c r="C359" s="12" t="s">
        <v>59</v>
      </c>
      <c r="D359" s="2" t="s">
        <v>19</v>
      </c>
      <c r="E359" s="2" t="s">
        <v>715</v>
      </c>
      <c r="F359" s="3" t="s">
        <v>716</v>
      </c>
      <c r="G359" s="3"/>
    </row>
    <row r="360">
      <c r="A360" s="2">
        <v>11.0</v>
      </c>
      <c r="B360" s="2">
        <v>8.0</v>
      </c>
      <c r="C360" s="12" t="s">
        <v>59</v>
      </c>
      <c r="D360" s="2" t="s">
        <v>19</v>
      </c>
      <c r="E360" s="11" t="s">
        <v>717</v>
      </c>
      <c r="F360" s="3" t="s">
        <v>718</v>
      </c>
      <c r="G360" s="3"/>
    </row>
    <row r="361">
      <c r="A361" s="2">
        <v>11.0</v>
      </c>
      <c r="B361" s="2">
        <v>9.0</v>
      </c>
      <c r="C361" s="12" t="s">
        <v>59</v>
      </c>
      <c r="D361" s="2" t="s">
        <v>19</v>
      </c>
      <c r="E361" s="2" t="s">
        <v>719</v>
      </c>
      <c r="F361" s="3" t="s">
        <v>720</v>
      </c>
      <c r="G361" s="3"/>
    </row>
    <row r="362">
      <c r="A362" s="2">
        <v>11.0</v>
      </c>
      <c r="B362" s="2">
        <v>10.0</v>
      </c>
      <c r="C362" s="2" t="s">
        <v>40</v>
      </c>
      <c r="D362" s="2" t="s">
        <v>8</v>
      </c>
      <c r="E362" s="2" t="s">
        <v>721</v>
      </c>
      <c r="F362" s="3" t="s">
        <v>722</v>
      </c>
      <c r="G362" s="3"/>
    </row>
    <row r="363">
      <c r="A363" s="2">
        <v>11.0</v>
      </c>
      <c r="B363" s="2">
        <v>10.0</v>
      </c>
      <c r="C363" s="2" t="s">
        <v>40</v>
      </c>
      <c r="D363" s="2" t="s">
        <v>8</v>
      </c>
      <c r="E363" s="11" t="s">
        <v>723</v>
      </c>
      <c r="F363" s="3" t="s">
        <v>724</v>
      </c>
      <c r="G363" s="3"/>
    </row>
    <row r="364">
      <c r="A364" s="2">
        <v>11.0</v>
      </c>
      <c r="B364" s="2">
        <v>11.0</v>
      </c>
      <c r="C364" s="2" t="s">
        <v>40</v>
      </c>
      <c r="D364" s="2" t="s">
        <v>19</v>
      </c>
      <c r="E364" s="2" t="s">
        <v>725</v>
      </c>
      <c r="F364" s="3" t="s">
        <v>726</v>
      </c>
      <c r="G364" s="3"/>
    </row>
    <row r="365">
      <c r="A365" s="2">
        <v>11.0</v>
      </c>
      <c r="B365" s="2">
        <v>13.0</v>
      </c>
      <c r="C365" s="12" t="s">
        <v>47</v>
      </c>
      <c r="D365" s="13"/>
      <c r="E365" s="13"/>
      <c r="F365" s="14"/>
      <c r="G365" s="3"/>
    </row>
    <row r="366">
      <c r="A366" s="2">
        <v>11.0</v>
      </c>
      <c r="B366" s="2">
        <v>14.0</v>
      </c>
      <c r="C366" s="12" t="s">
        <v>47</v>
      </c>
      <c r="D366" s="2" t="s">
        <v>8</v>
      </c>
      <c r="E366" s="2" t="s">
        <v>727</v>
      </c>
      <c r="F366" s="3" t="s">
        <v>728</v>
      </c>
      <c r="G366" s="3"/>
    </row>
    <row r="367">
      <c r="A367" s="2">
        <v>11.0</v>
      </c>
      <c r="B367" s="2">
        <v>15.0</v>
      </c>
      <c r="C367" s="2" t="s">
        <v>72</v>
      </c>
      <c r="D367" s="13"/>
      <c r="E367" s="13"/>
      <c r="F367" s="14"/>
      <c r="G367" s="3"/>
    </row>
    <row r="368">
      <c r="A368" s="2">
        <v>11.0</v>
      </c>
      <c r="B368" s="2">
        <v>16.0</v>
      </c>
      <c r="C368" s="2" t="s">
        <v>72</v>
      </c>
      <c r="D368" s="2" t="s">
        <v>19</v>
      </c>
      <c r="E368" s="2" t="s">
        <v>729</v>
      </c>
      <c r="F368" s="3" t="s">
        <v>730</v>
      </c>
      <c r="G368" s="3"/>
    </row>
    <row r="369">
      <c r="A369" s="2">
        <v>11.0</v>
      </c>
      <c r="B369" s="2">
        <v>18.0</v>
      </c>
      <c r="C369" s="2" t="s">
        <v>33</v>
      </c>
      <c r="D369" s="2" t="s">
        <v>19</v>
      </c>
      <c r="E369" s="2" t="s">
        <v>731</v>
      </c>
      <c r="F369" s="3" t="s">
        <v>732</v>
      </c>
      <c r="G369" s="3"/>
    </row>
    <row r="370">
      <c r="A370" s="2">
        <v>11.0</v>
      </c>
      <c r="B370" s="2">
        <v>19.0</v>
      </c>
      <c r="C370" s="2" t="s">
        <v>54</v>
      </c>
      <c r="D370" s="2" t="s">
        <v>8</v>
      </c>
      <c r="E370" s="2" t="s">
        <v>733</v>
      </c>
      <c r="F370" s="3" t="s">
        <v>734</v>
      </c>
      <c r="G370" s="3"/>
    </row>
    <row r="371">
      <c r="A371" s="2">
        <v>11.0</v>
      </c>
      <c r="B371" s="2">
        <v>20.0</v>
      </c>
      <c r="C371" s="2" t="s">
        <v>176</v>
      </c>
      <c r="D371" s="2" t="s">
        <v>8</v>
      </c>
      <c r="E371" s="2" t="s">
        <v>735</v>
      </c>
      <c r="F371" s="3" t="s">
        <v>736</v>
      </c>
      <c r="G371" s="3"/>
    </row>
    <row r="372">
      <c r="A372" s="2">
        <v>12.0</v>
      </c>
      <c r="B372" s="2">
        <v>1.0</v>
      </c>
      <c r="C372" s="2" t="s">
        <v>451</v>
      </c>
      <c r="D372" s="2" t="s">
        <v>8</v>
      </c>
      <c r="E372" s="2" t="s">
        <v>737</v>
      </c>
      <c r="F372" s="3" t="s">
        <v>738</v>
      </c>
      <c r="G372" s="3"/>
    </row>
    <row r="373">
      <c r="A373" s="2">
        <v>12.0</v>
      </c>
      <c r="B373" s="2">
        <v>1.0</v>
      </c>
      <c r="C373" s="2" t="s">
        <v>451</v>
      </c>
      <c r="D373" s="2" t="s">
        <v>19</v>
      </c>
      <c r="E373" s="2" t="s">
        <v>739</v>
      </c>
      <c r="F373" s="3" t="s">
        <v>740</v>
      </c>
      <c r="G373" s="3"/>
    </row>
    <row r="374">
      <c r="A374" s="2">
        <v>12.0</v>
      </c>
      <c r="B374" s="2">
        <v>3.0</v>
      </c>
      <c r="C374" s="2" t="s">
        <v>451</v>
      </c>
      <c r="D374" s="2" t="s">
        <v>19</v>
      </c>
      <c r="E374" s="2" t="s">
        <v>741</v>
      </c>
      <c r="F374" s="3" t="s">
        <v>742</v>
      </c>
      <c r="G374" s="3"/>
    </row>
    <row r="375">
      <c r="A375" s="2">
        <v>12.0</v>
      </c>
      <c r="B375" s="2">
        <v>3.0</v>
      </c>
      <c r="C375" s="2" t="s">
        <v>451</v>
      </c>
      <c r="D375" s="2" t="s">
        <v>19</v>
      </c>
      <c r="E375" s="2" t="s">
        <v>743</v>
      </c>
      <c r="F375" s="3" t="s">
        <v>744</v>
      </c>
      <c r="G375" s="3"/>
    </row>
    <row r="376">
      <c r="A376" s="2">
        <v>12.0</v>
      </c>
      <c r="B376" s="2">
        <v>4.0</v>
      </c>
      <c r="C376" s="2" t="s">
        <v>451</v>
      </c>
      <c r="D376" s="2" t="s">
        <v>19</v>
      </c>
      <c r="E376" s="2" t="s">
        <v>745</v>
      </c>
      <c r="F376" s="3" t="s">
        <v>746</v>
      </c>
      <c r="G376" s="3"/>
    </row>
    <row r="377">
      <c r="A377" s="2">
        <v>12.0</v>
      </c>
      <c r="B377" s="2">
        <v>5.0</v>
      </c>
      <c r="C377" s="2" t="s">
        <v>451</v>
      </c>
      <c r="D377" s="13"/>
      <c r="E377" s="13"/>
      <c r="F377" s="14"/>
      <c r="G377" s="3"/>
    </row>
    <row r="378">
      <c r="A378" s="2">
        <v>12.0</v>
      </c>
      <c r="B378" s="2">
        <v>6.0</v>
      </c>
      <c r="C378" s="2" t="s">
        <v>451</v>
      </c>
      <c r="D378" s="2" t="s">
        <v>19</v>
      </c>
      <c r="E378" s="2" t="s">
        <v>747</v>
      </c>
      <c r="F378" s="3" t="s">
        <v>748</v>
      </c>
      <c r="G378" s="3"/>
    </row>
    <row r="379">
      <c r="A379" s="2">
        <v>12.0</v>
      </c>
      <c r="B379" s="2">
        <v>6.0</v>
      </c>
      <c r="C379" s="2" t="s">
        <v>451</v>
      </c>
      <c r="D379" s="2" t="s">
        <v>19</v>
      </c>
      <c r="E379" s="2" t="s">
        <v>749</v>
      </c>
      <c r="F379" s="3" t="s">
        <v>750</v>
      </c>
      <c r="G379" s="3"/>
    </row>
    <row r="380">
      <c r="A380" s="2">
        <v>12.0</v>
      </c>
      <c r="B380" s="2">
        <v>8.0</v>
      </c>
      <c r="C380" s="2" t="s">
        <v>7</v>
      </c>
      <c r="D380" s="2" t="s">
        <v>19</v>
      </c>
      <c r="E380" s="2" t="s">
        <v>751</v>
      </c>
      <c r="F380" s="3" t="s">
        <v>752</v>
      </c>
      <c r="G380" s="3"/>
    </row>
    <row r="381">
      <c r="A381" s="2">
        <v>12.0</v>
      </c>
      <c r="B381" s="2">
        <v>8.0</v>
      </c>
      <c r="C381" s="2" t="s">
        <v>7</v>
      </c>
      <c r="D381" s="2" t="s">
        <v>8</v>
      </c>
      <c r="E381" s="2" t="s">
        <v>753</v>
      </c>
      <c r="F381" s="3" t="s">
        <v>754</v>
      </c>
      <c r="G381" s="3"/>
    </row>
    <row r="382">
      <c r="A382" s="2">
        <v>12.0</v>
      </c>
      <c r="B382" s="2">
        <v>9.0</v>
      </c>
      <c r="C382" s="2" t="s">
        <v>7</v>
      </c>
      <c r="D382" s="2" t="s">
        <v>19</v>
      </c>
      <c r="E382" s="2" t="s">
        <v>755</v>
      </c>
      <c r="F382" s="3" t="s">
        <v>756</v>
      </c>
      <c r="G382" s="3"/>
    </row>
    <row r="383">
      <c r="A383" s="2">
        <v>12.0</v>
      </c>
      <c r="B383" s="2">
        <v>10.0</v>
      </c>
      <c r="C383" s="2" t="s">
        <v>7</v>
      </c>
      <c r="D383" s="2" t="s">
        <v>8</v>
      </c>
      <c r="E383" s="2" t="s">
        <v>757</v>
      </c>
      <c r="F383" s="3" t="s">
        <v>758</v>
      </c>
      <c r="G383" s="3"/>
    </row>
    <row r="384">
      <c r="A384" s="2">
        <v>12.0</v>
      </c>
      <c r="B384" s="2">
        <v>10.0</v>
      </c>
      <c r="C384" s="2" t="s">
        <v>7</v>
      </c>
      <c r="D384" s="2" t="s">
        <v>8</v>
      </c>
      <c r="E384" s="2" t="s">
        <v>759</v>
      </c>
      <c r="F384" s="3" t="s">
        <v>760</v>
      </c>
      <c r="G384" s="3"/>
    </row>
    <row r="385">
      <c r="A385" s="2">
        <v>12.0</v>
      </c>
      <c r="B385" s="2">
        <v>11.0</v>
      </c>
      <c r="C385" s="2" t="s">
        <v>7</v>
      </c>
      <c r="D385" s="2" t="s">
        <v>19</v>
      </c>
      <c r="E385" s="2" t="s">
        <v>761</v>
      </c>
      <c r="F385" s="3" t="s">
        <v>762</v>
      </c>
      <c r="G385" s="3"/>
    </row>
    <row r="386">
      <c r="A386" s="2">
        <v>12.0</v>
      </c>
      <c r="B386" s="2">
        <v>11.0</v>
      </c>
      <c r="C386" s="2" t="s">
        <v>7</v>
      </c>
      <c r="D386" s="2" t="s">
        <v>19</v>
      </c>
      <c r="E386" s="2" t="s">
        <v>763</v>
      </c>
      <c r="F386" s="3" t="s">
        <v>764</v>
      </c>
      <c r="G386" s="3"/>
    </row>
    <row r="387">
      <c r="A387" s="2">
        <v>12.0</v>
      </c>
      <c r="B387" s="2">
        <v>13.0</v>
      </c>
      <c r="C387" s="2" t="s">
        <v>7</v>
      </c>
      <c r="D387" s="2" t="s">
        <v>19</v>
      </c>
      <c r="E387" s="2" t="s">
        <v>765</v>
      </c>
      <c r="F387" s="3" t="s">
        <v>766</v>
      </c>
      <c r="G387" s="3"/>
    </row>
    <row r="388">
      <c r="A388" s="2">
        <v>12.0</v>
      </c>
      <c r="B388" s="2">
        <v>13.0</v>
      </c>
      <c r="C388" s="2" t="s">
        <v>7</v>
      </c>
      <c r="D388" s="2" t="s">
        <v>19</v>
      </c>
      <c r="E388" s="2" t="s">
        <v>767</v>
      </c>
      <c r="F388" s="3" t="s">
        <v>768</v>
      </c>
      <c r="G388" s="3"/>
    </row>
    <row r="389">
      <c r="A389" s="2">
        <v>12.0</v>
      </c>
      <c r="B389" s="2">
        <v>14.0</v>
      </c>
      <c r="C389" s="2" t="s">
        <v>7</v>
      </c>
      <c r="D389" s="2" t="s">
        <v>8</v>
      </c>
      <c r="E389" s="2" t="s">
        <v>769</v>
      </c>
      <c r="F389" s="3" t="s">
        <v>770</v>
      </c>
      <c r="G389" s="3"/>
    </row>
    <row r="390">
      <c r="A390" s="2">
        <v>12.0</v>
      </c>
      <c r="B390" s="2">
        <v>14.0</v>
      </c>
      <c r="C390" s="2" t="s">
        <v>7</v>
      </c>
      <c r="D390" s="2" t="s">
        <v>8</v>
      </c>
      <c r="E390" s="2" t="s">
        <v>771</v>
      </c>
      <c r="F390" s="3" t="s">
        <v>772</v>
      </c>
      <c r="G390" s="3"/>
    </row>
    <row r="391">
      <c r="A391" s="2">
        <v>12.0</v>
      </c>
      <c r="B391" s="2">
        <v>14.0</v>
      </c>
      <c r="C391" s="2" t="s">
        <v>7</v>
      </c>
      <c r="D391" s="2" t="s">
        <v>19</v>
      </c>
      <c r="E391" s="2" t="s">
        <v>773</v>
      </c>
      <c r="F391" s="3" t="s">
        <v>774</v>
      </c>
      <c r="G391" s="3"/>
    </row>
    <row r="392">
      <c r="A392" s="2">
        <v>12.0</v>
      </c>
      <c r="B392" s="2">
        <v>15.0</v>
      </c>
      <c r="C392" s="2" t="s">
        <v>7</v>
      </c>
      <c r="D392" s="13"/>
      <c r="E392" s="13"/>
      <c r="F392" s="14"/>
      <c r="G392" s="3"/>
    </row>
    <row r="393">
      <c r="A393" s="2">
        <v>12.0</v>
      </c>
      <c r="B393" s="2">
        <v>16.0</v>
      </c>
      <c r="C393" s="2" t="s">
        <v>7</v>
      </c>
      <c r="D393" s="2" t="s">
        <v>19</v>
      </c>
      <c r="E393" s="2" t="s">
        <v>775</v>
      </c>
      <c r="F393" s="3" t="s">
        <v>776</v>
      </c>
      <c r="G393" s="3"/>
    </row>
    <row r="394">
      <c r="A394" s="2">
        <v>12.0</v>
      </c>
      <c r="B394" s="2">
        <v>18.0</v>
      </c>
      <c r="C394" s="12" t="s">
        <v>59</v>
      </c>
      <c r="D394" s="2" t="s">
        <v>19</v>
      </c>
      <c r="E394" s="2" t="s">
        <v>777</v>
      </c>
      <c r="F394" s="3" t="s">
        <v>778</v>
      </c>
      <c r="G394" s="3"/>
    </row>
    <row r="395">
      <c r="A395" s="2">
        <v>12.0</v>
      </c>
      <c r="B395" s="2">
        <v>19.0</v>
      </c>
      <c r="C395" s="12" t="s">
        <v>59</v>
      </c>
      <c r="D395" s="2" t="s">
        <v>19</v>
      </c>
      <c r="E395" s="2" t="s">
        <v>779</v>
      </c>
      <c r="F395" s="3" t="s">
        <v>780</v>
      </c>
      <c r="G395" s="3"/>
    </row>
    <row r="396">
      <c r="A396" s="2">
        <v>12.0</v>
      </c>
      <c r="B396" s="2">
        <v>20.0</v>
      </c>
      <c r="C396" s="2" t="s">
        <v>40</v>
      </c>
      <c r="D396" s="2" t="s">
        <v>19</v>
      </c>
      <c r="E396" s="2" t="s">
        <v>781</v>
      </c>
      <c r="F396" s="3" t="s">
        <v>782</v>
      </c>
      <c r="G396" s="3"/>
    </row>
    <row r="397">
      <c r="A397" s="2">
        <v>12.0</v>
      </c>
      <c r="B397" s="2">
        <v>21.0</v>
      </c>
      <c r="C397" s="2" t="s">
        <v>40</v>
      </c>
      <c r="D397" s="2" t="s">
        <v>19</v>
      </c>
      <c r="E397" s="2" t="s">
        <v>783</v>
      </c>
      <c r="F397" s="3" t="s">
        <v>784</v>
      </c>
      <c r="G397" s="3"/>
    </row>
    <row r="398">
      <c r="A398" s="2">
        <v>12.0</v>
      </c>
      <c r="B398" s="2">
        <v>21.0</v>
      </c>
      <c r="C398" s="2" t="s">
        <v>40</v>
      </c>
      <c r="D398" s="2" t="s">
        <v>19</v>
      </c>
      <c r="E398" s="2" t="s">
        <v>785</v>
      </c>
      <c r="F398" s="3" t="s">
        <v>786</v>
      </c>
      <c r="G398" s="3"/>
    </row>
    <row r="399">
      <c r="A399" s="2">
        <v>12.0</v>
      </c>
      <c r="B399" s="2">
        <v>23.0</v>
      </c>
      <c r="C399" s="2" t="s">
        <v>40</v>
      </c>
      <c r="D399" s="2" t="s">
        <v>19</v>
      </c>
      <c r="E399" s="2" t="s">
        <v>787</v>
      </c>
      <c r="F399" s="3" t="s">
        <v>788</v>
      </c>
      <c r="G399" s="3"/>
    </row>
    <row r="400">
      <c r="A400" s="2">
        <v>12.0</v>
      </c>
      <c r="B400" s="2">
        <v>24.0</v>
      </c>
      <c r="C400" s="2" t="s">
        <v>40</v>
      </c>
      <c r="D400" s="2" t="s">
        <v>19</v>
      </c>
      <c r="E400" s="2" t="s">
        <v>789</v>
      </c>
      <c r="F400" s="2" t="s">
        <v>790</v>
      </c>
      <c r="G400" s="3"/>
    </row>
    <row r="401">
      <c r="A401" s="2">
        <v>12.0</v>
      </c>
      <c r="B401" s="2">
        <v>25.0</v>
      </c>
      <c r="C401" s="2" t="s">
        <v>40</v>
      </c>
      <c r="D401" s="2" t="s">
        <v>19</v>
      </c>
      <c r="E401" s="2" t="s">
        <v>791</v>
      </c>
      <c r="F401" s="3" t="s">
        <v>792</v>
      </c>
      <c r="G401" s="3"/>
    </row>
    <row r="402">
      <c r="A402" s="2">
        <v>12.0</v>
      </c>
      <c r="B402" s="2">
        <v>26.0</v>
      </c>
      <c r="C402" s="2" t="s">
        <v>40</v>
      </c>
      <c r="D402" s="13"/>
      <c r="E402" s="16"/>
      <c r="F402" s="14"/>
      <c r="G402" s="3"/>
    </row>
    <row r="403">
      <c r="A403" s="2">
        <v>12.0</v>
      </c>
      <c r="B403" s="2">
        <v>28.0</v>
      </c>
      <c r="C403" s="2" t="s">
        <v>40</v>
      </c>
      <c r="D403" s="13"/>
      <c r="E403" s="13"/>
      <c r="F403" s="14"/>
      <c r="G403" s="3"/>
    </row>
    <row r="404">
      <c r="A404" s="2">
        <v>12.0</v>
      </c>
      <c r="B404" s="2">
        <v>29.0</v>
      </c>
      <c r="C404" s="2" t="s">
        <v>40</v>
      </c>
      <c r="D404" s="2" t="s">
        <v>19</v>
      </c>
      <c r="E404" s="2" t="s">
        <v>793</v>
      </c>
      <c r="F404" s="3" t="s">
        <v>794</v>
      </c>
      <c r="G404" s="3"/>
    </row>
    <row r="405">
      <c r="A405" s="2">
        <v>12.0</v>
      </c>
      <c r="B405" s="2">
        <v>30.0</v>
      </c>
      <c r="C405" s="2" t="s">
        <v>28</v>
      </c>
      <c r="D405" s="13"/>
      <c r="E405" s="13"/>
      <c r="F405" s="14"/>
      <c r="G405" s="3"/>
    </row>
    <row r="406">
      <c r="A406" s="2">
        <v>12.0</v>
      </c>
      <c r="B406" s="2">
        <v>31.0</v>
      </c>
      <c r="C406" s="2" t="s">
        <v>28</v>
      </c>
      <c r="D406" s="2" t="s">
        <v>19</v>
      </c>
      <c r="E406" s="2" t="s">
        <v>795</v>
      </c>
      <c r="F406" s="3" t="s">
        <v>796</v>
      </c>
      <c r="G406" s="3"/>
    </row>
    <row r="407">
      <c r="A407" s="2">
        <v>12.0</v>
      </c>
      <c r="B407" s="2">
        <v>33.0</v>
      </c>
      <c r="C407" s="2" t="s">
        <v>28</v>
      </c>
      <c r="D407" s="13"/>
      <c r="E407" s="16"/>
      <c r="F407" s="14"/>
      <c r="G407" s="3"/>
    </row>
    <row r="408">
      <c r="A408" s="2">
        <v>12.0</v>
      </c>
      <c r="B408" s="2">
        <v>34.0</v>
      </c>
      <c r="C408" s="12" t="s">
        <v>47</v>
      </c>
      <c r="D408" s="2" t="s">
        <v>8</v>
      </c>
      <c r="E408" s="2" t="s">
        <v>797</v>
      </c>
      <c r="F408" s="3" t="s">
        <v>798</v>
      </c>
      <c r="G408" s="3"/>
    </row>
    <row r="409">
      <c r="A409" s="2">
        <v>12.0</v>
      </c>
      <c r="B409" s="2">
        <v>35.0</v>
      </c>
      <c r="C409" s="12" t="s">
        <v>47</v>
      </c>
      <c r="D409" s="13"/>
      <c r="E409" s="13"/>
      <c r="F409" s="14"/>
      <c r="G409" s="3"/>
    </row>
    <row r="410">
      <c r="A410" s="2">
        <v>12.0</v>
      </c>
      <c r="B410" s="2">
        <v>36.0</v>
      </c>
      <c r="C410" s="12" t="s">
        <v>47</v>
      </c>
      <c r="D410" s="2" t="s">
        <v>8</v>
      </c>
      <c r="E410" s="2" t="s">
        <v>799</v>
      </c>
      <c r="F410" s="3" t="s">
        <v>800</v>
      </c>
      <c r="G410" s="3"/>
    </row>
    <row r="411">
      <c r="A411" s="2">
        <v>12.0</v>
      </c>
      <c r="B411" s="2">
        <v>36.0</v>
      </c>
      <c r="C411" s="12" t="s">
        <v>47</v>
      </c>
      <c r="D411" s="2" t="s">
        <v>8</v>
      </c>
      <c r="E411" s="2" t="s">
        <v>801</v>
      </c>
      <c r="F411" s="3" t="s">
        <v>802</v>
      </c>
      <c r="G411" s="3"/>
    </row>
    <row r="412">
      <c r="A412" s="2">
        <v>12.0</v>
      </c>
      <c r="B412" s="2">
        <v>38.0</v>
      </c>
      <c r="C412" s="2" t="s">
        <v>72</v>
      </c>
      <c r="D412" s="13"/>
      <c r="E412" s="13"/>
      <c r="F412" s="14"/>
      <c r="G412" s="3"/>
    </row>
    <row r="413">
      <c r="A413" s="2">
        <v>12.0</v>
      </c>
      <c r="B413" s="2">
        <v>39.0</v>
      </c>
      <c r="C413" s="2" t="s">
        <v>72</v>
      </c>
      <c r="D413" s="2" t="s">
        <v>19</v>
      </c>
      <c r="E413" s="2" t="s">
        <v>803</v>
      </c>
      <c r="F413" s="3" t="s">
        <v>804</v>
      </c>
      <c r="G413" s="3"/>
    </row>
    <row r="414">
      <c r="A414" s="2">
        <v>12.0</v>
      </c>
      <c r="B414" s="2">
        <v>39.0</v>
      </c>
      <c r="C414" s="2" t="s">
        <v>72</v>
      </c>
      <c r="D414" s="2" t="s">
        <v>8</v>
      </c>
      <c r="E414" s="2" t="s">
        <v>805</v>
      </c>
      <c r="F414" s="3" t="s">
        <v>806</v>
      </c>
      <c r="G414" s="3"/>
    </row>
    <row r="415">
      <c r="A415" s="2">
        <v>12.0</v>
      </c>
      <c r="B415" s="2">
        <v>40.0</v>
      </c>
      <c r="C415" s="2" t="s">
        <v>72</v>
      </c>
      <c r="D415" s="2" t="s">
        <v>19</v>
      </c>
      <c r="E415" s="2" t="s">
        <v>807</v>
      </c>
      <c r="F415" s="3" t="s">
        <v>808</v>
      </c>
      <c r="G415" s="3"/>
    </row>
    <row r="416">
      <c r="A416" s="2">
        <v>12.0</v>
      </c>
      <c r="B416" s="2">
        <v>40.0</v>
      </c>
      <c r="C416" s="2" t="s">
        <v>72</v>
      </c>
      <c r="D416" s="2" t="s">
        <v>19</v>
      </c>
      <c r="E416" s="2" t="s">
        <v>809</v>
      </c>
      <c r="F416" s="3" t="s">
        <v>810</v>
      </c>
      <c r="G416" s="3"/>
    </row>
    <row r="417">
      <c r="A417" s="2">
        <v>12.0</v>
      </c>
      <c r="B417" s="2">
        <v>40.0</v>
      </c>
      <c r="C417" s="2" t="s">
        <v>72</v>
      </c>
      <c r="D417" s="2" t="s">
        <v>19</v>
      </c>
      <c r="E417" s="2" t="s">
        <v>811</v>
      </c>
      <c r="F417" s="3" t="s">
        <v>812</v>
      </c>
      <c r="G417" s="3"/>
    </row>
    <row r="418">
      <c r="A418" s="2">
        <v>12.0</v>
      </c>
      <c r="B418" s="2">
        <v>41.0</v>
      </c>
      <c r="C418" s="2" t="s">
        <v>72</v>
      </c>
      <c r="D418" s="13"/>
      <c r="E418" s="13"/>
      <c r="F418" s="14"/>
      <c r="G418" s="3"/>
    </row>
    <row r="419">
      <c r="A419" s="2">
        <v>12.0</v>
      </c>
      <c r="B419" s="2">
        <v>43.0</v>
      </c>
      <c r="C419" s="2" t="s">
        <v>33</v>
      </c>
      <c r="D419" s="13"/>
      <c r="E419" s="13"/>
      <c r="F419" s="14"/>
      <c r="G419" s="3"/>
    </row>
    <row r="420">
      <c r="A420" s="2">
        <v>12.0</v>
      </c>
      <c r="B420" s="2">
        <v>44.0</v>
      </c>
      <c r="C420" s="2" t="s">
        <v>33</v>
      </c>
      <c r="D420" s="2" t="s">
        <v>19</v>
      </c>
      <c r="E420" s="2" t="s">
        <v>813</v>
      </c>
      <c r="F420" s="3" t="s">
        <v>814</v>
      </c>
      <c r="G420" s="3"/>
    </row>
    <row r="421">
      <c r="A421" s="2">
        <v>12.0</v>
      </c>
      <c r="B421" s="2">
        <v>45.0</v>
      </c>
      <c r="C421" s="2" t="s">
        <v>33</v>
      </c>
      <c r="D421" s="13"/>
      <c r="E421" s="13"/>
      <c r="F421" s="14"/>
      <c r="G421" s="3"/>
    </row>
    <row r="422">
      <c r="A422" s="2">
        <v>12.0</v>
      </c>
      <c r="B422" s="2">
        <v>46.0</v>
      </c>
      <c r="C422" s="2" t="s">
        <v>33</v>
      </c>
      <c r="D422" s="13"/>
      <c r="E422" s="13"/>
      <c r="F422" s="14"/>
      <c r="G422" s="3"/>
    </row>
    <row r="423">
      <c r="A423" s="2">
        <v>12.0</v>
      </c>
      <c r="B423" s="2">
        <v>48.0</v>
      </c>
      <c r="C423" s="2" t="s">
        <v>33</v>
      </c>
      <c r="D423" s="13"/>
      <c r="E423" s="13"/>
      <c r="F423" s="14"/>
      <c r="G423" s="3"/>
    </row>
    <row r="424">
      <c r="A424" s="2">
        <v>12.0</v>
      </c>
      <c r="B424" s="2">
        <v>49.0</v>
      </c>
      <c r="C424" s="2" t="s">
        <v>54</v>
      </c>
      <c r="D424" s="2" t="s">
        <v>8</v>
      </c>
      <c r="E424" s="2" t="s">
        <v>815</v>
      </c>
      <c r="F424" s="3" t="s">
        <v>816</v>
      </c>
      <c r="G424" s="3"/>
    </row>
    <row r="425">
      <c r="A425" s="2">
        <v>12.0</v>
      </c>
      <c r="B425" s="2">
        <v>49.0</v>
      </c>
      <c r="C425" s="2" t="s">
        <v>54</v>
      </c>
      <c r="D425" s="2" t="s">
        <v>19</v>
      </c>
      <c r="E425" s="2" t="s">
        <v>817</v>
      </c>
      <c r="F425" s="3" t="s">
        <v>818</v>
      </c>
      <c r="G425" s="3"/>
    </row>
    <row r="426">
      <c r="A426" s="2">
        <v>12.0</v>
      </c>
      <c r="B426" s="2">
        <v>50.0</v>
      </c>
      <c r="C426" s="2" t="s">
        <v>54</v>
      </c>
      <c r="D426" s="2" t="s">
        <v>19</v>
      </c>
      <c r="E426" s="2" t="s">
        <v>819</v>
      </c>
      <c r="F426" s="3" t="s">
        <v>820</v>
      </c>
      <c r="G426" s="3"/>
    </row>
    <row r="427">
      <c r="A427" s="2">
        <v>12.0</v>
      </c>
      <c r="B427" s="2">
        <v>51.0</v>
      </c>
      <c r="C427" s="2" t="s">
        <v>54</v>
      </c>
      <c r="D427" s="2" t="s">
        <v>19</v>
      </c>
      <c r="E427" s="2" t="s">
        <v>821</v>
      </c>
      <c r="F427" s="3" t="s">
        <v>822</v>
      </c>
      <c r="G427" s="3"/>
    </row>
    <row r="428">
      <c r="A428" s="2">
        <v>12.0</v>
      </c>
      <c r="B428" s="2">
        <v>53.0</v>
      </c>
      <c r="C428" s="2" t="s">
        <v>176</v>
      </c>
      <c r="D428" s="13"/>
      <c r="E428" s="13"/>
      <c r="F428" s="14"/>
      <c r="G428" s="3"/>
    </row>
    <row r="429">
      <c r="A429" s="2">
        <v>12.0</v>
      </c>
      <c r="B429" s="2">
        <v>54.0</v>
      </c>
      <c r="C429" s="2" t="s">
        <v>176</v>
      </c>
      <c r="D429" s="13"/>
      <c r="E429" s="13"/>
      <c r="F429" s="14"/>
      <c r="G429" s="3"/>
    </row>
    <row r="430">
      <c r="A430" s="2">
        <v>12.0</v>
      </c>
      <c r="B430" s="2">
        <v>55.0</v>
      </c>
      <c r="C430" s="2" t="s">
        <v>176</v>
      </c>
      <c r="D430" s="13"/>
      <c r="E430" s="13"/>
      <c r="F430" s="14"/>
      <c r="G430" s="3"/>
    </row>
    <row r="431">
      <c r="A431" s="2">
        <v>13.0</v>
      </c>
      <c r="B431" s="2">
        <v>1.0</v>
      </c>
      <c r="C431" s="2" t="s">
        <v>7</v>
      </c>
      <c r="D431" s="2" t="s">
        <v>19</v>
      </c>
      <c r="E431" s="2" t="s">
        <v>823</v>
      </c>
      <c r="F431" s="3" t="s">
        <v>824</v>
      </c>
      <c r="G431" s="3"/>
    </row>
    <row r="432">
      <c r="A432" s="2">
        <v>13.0</v>
      </c>
      <c r="B432" s="2">
        <v>3.0</v>
      </c>
      <c r="C432" s="2" t="s">
        <v>7</v>
      </c>
      <c r="D432" s="2" t="s">
        <v>8</v>
      </c>
      <c r="E432" s="2" t="s">
        <v>825</v>
      </c>
      <c r="F432" s="3" t="s">
        <v>826</v>
      </c>
      <c r="G432" s="3"/>
    </row>
    <row r="433">
      <c r="A433" s="2">
        <v>13.0</v>
      </c>
      <c r="B433" s="2">
        <v>4.0</v>
      </c>
      <c r="C433" s="2" t="s">
        <v>7</v>
      </c>
      <c r="D433" s="13"/>
      <c r="E433" s="13"/>
      <c r="F433" s="14"/>
      <c r="G433" s="3"/>
    </row>
    <row r="434">
      <c r="A434" s="2">
        <v>13.0</v>
      </c>
      <c r="B434" s="2">
        <v>5.0</v>
      </c>
      <c r="C434" s="2" t="s">
        <v>7</v>
      </c>
      <c r="D434" s="13"/>
      <c r="E434" s="13"/>
      <c r="F434" s="14"/>
      <c r="G434" s="3"/>
    </row>
    <row r="435">
      <c r="A435" s="2">
        <v>13.0</v>
      </c>
      <c r="B435" s="2">
        <v>6.0</v>
      </c>
      <c r="C435" s="2" t="s">
        <v>7</v>
      </c>
      <c r="D435" s="2" t="s">
        <v>19</v>
      </c>
      <c r="E435" s="2" t="s">
        <v>827</v>
      </c>
      <c r="F435" s="3" t="s">
        <v>828</v>
      </c>
      <c r="G435" s="3"/>
    </row>
    <row r="436">
      <c r="A436" s="2">
        <v>13.0</v>
      </c>
      <c r="B436" s="2">
        <v>8.0</v>
      </c>
      <c r="C436" s="12" t="s">
        <v>59</v>
      </c>
      <c r="D436" s="2" t="s">
        <v>19</v>
      </c>
      <c r="E436" s="2" t="s">
        <v>829</v>
      </c>
      <c r="F436" s="3" t="s">
        <v>830</v>
      </c>
      <c r="G436" s="3"/>
    </row>
    <row r="437">
      <c r="A437" s="2">
        <v>13.0</v>
      </c>
      <c r="B437" s="2">
        <v>8.0</v>
      </c>
      <c r="C437" s="12" t="s">
        <v>59</v>
      </c>
      <c r="D437" s="2" t="s">
        <v>19</v>
      </c>
      <c r="E437" s="2" t="s">
        <v>831</v>
      </c>
      <c r="F437" s="3" t="s">
        <v>832</v>
      </c>
      <c r="G437" s="3"/>
    </row>
    <row r="438">
      <c r="A438" s="2">
        <v>13.0</v>
      </c>
      <c r="B438" s="2">
        <v>9.0</v>
      </c>
      <c r="C438" s="12" t="s">
        <v>59</v>
      </c>
      <c r="D438" s="13"/>
      <c r="E438" s="13"/>
      <c r="F438" s="14"/>
      <c r="G438" s="3"/>
    </row>
    <row r="439">
      <c r="A439" s="2">
        <v>13.0</v>
      </c>
      <c r="B439" s="2">
        <v>10.0</v>
      </c>
      <c r="C439" s="12" t="s">
        <v>59</v>
      </c>
      <c r="D439" s="2" t="s">
        <v>8</v>
      </c>
      <c r="E439" s="2" t="s">
        <v>833</v>
      </c>
      <c r="F439" s="3" t="s">
        <v>834</v>
      </c>
      <c r="G439" s="3"/>
    </row>
    <row r="440">
      <c r="A440" s="2">
        <v>13.0</v>
      </c>
      <c r="B440" s="2">
        <v>11.0</v>
      </c>
      <c r="C440" s="2" t="s">
        <v>40</v>
      </c>
      <c r="D440" s="2" t="s">
        <v>19</v>
      </c>
      <c r="E440" s="2" t="s">
        <v>835</v>
      </c>
      <c r="F440" s="3" t="s">
        <v>836</v>
      </c>
      <c r="G440" s="3"/>
    </row>
    <row r="441">
      <c r="A441" s="2">
        <v>13.0</v>
      </c>
      <c r="B441" s="2">
        <v>13.0</v>
      </c>
      <c r="C441" s="2" t="s">
        <v>28</v>
      </c>
      <c r="D441" s="2" t="s">
        <v>19</v>
      </c>
      <c r="E441" s="2" t="s">
        <v>837</v>
      </c>
      <c r="F441" s="3" t="s">
        <v>838</v>
      </c>
      <c r="G441" s="3"/>
    </row>
    <row r="442">
      <c r="A442" s="2">
        <v>13.0</v>
      </c>
      <c r="B442" s="2">
        <v>14.0</v>
      </c>
      <c r="C442" s="12" t="s">
        <v>47</v>
      </c>
      <c r="D442" s="13"/>
      <c r="E442" s="13"/>
      <c r="F442" s="14"/>
      <c r="G442" s="3"/>
    </row>
    <row r="443">
      <c r="A443" s="2">
        <v>13.0</v>
      </c>
      <c r="B443" s="2">
        <v>15.0</v>
      </c>
      <c r="C443" s="12" t="s">
        <v>47</v>
      </c>
      <c r="D443" s="2" t="s">
        <v>19</v>
      </c>
      <c r="E443" s="2" t="s">
        <v>839</v>
      </c>
      <c r="F443" s="3" t="s">
        <v>840</v>
      </c>
      <c r="G443" s="3"/>
    </row>
    <row r="444">
      <c r="A444" s="2">
        <v>13.0</v>
      </c>
      <c r="B444" s="2">
        <v>16.0</v>
      </c>
      <c r="C444" s="2" t="s">
        <v>72</v>
      </c>
      <c r="D444" s="13"/>
      <c r="E444" s="13"/>
      <c r="F444" s="14"/>
      <c r="G444" s="3"/>
    </row>
    <row r="445">
      <c r="A445" s="2">
        <v>13.0</v>
      </c>
      <c r="B445" s="2">
        <v>18.0</v>
      </c>
      <c r="C445" s="2" t="s">
        <v>33</v>
      </c>
      <c r="D445" s="2" t="s">
        <v>8</v>
      </c>
      <c r="E445" s="2" t="s">
        <v>841</v>
      </c>
      <c r="F445" s="3" t="s">
        <v>842</v>
      </c>
      <c r="G445" s="3"/>
    </row>
    <row r="446">
      <c r="A446" s="2">
        <v>13.0</v>
      </c>
      <c r="B446" s="2">
        <v>19.0</v>
      </c>
      <c r="C446" s="2" t="s">
        <v>33</v>
      </c>
      <c r="D446" s="2" t="s">
        <v>19</v>
      </c>
      <c r="E446" s="2" t="s">
        <v>843</v>
      </c>
      <c r="F446" s="3" t="s">
        <v>844</v>
      </c>
      <c r="G446" s="3"/>
    </row>
    <row r="447">
      <c r="A447" s="2">
        <v>13.0</v>
      </c>
      <c r="B447" s="2">
        <v>20.0</v>
      </c>
      <c r="C447" s="2" t="s">
        <v>54</v>
      </c>
      <c r="D447" s="13"/>
      <c r="E447" s="13"/>
      <c r="F447" s="14"/>
      <c r="G447" s="3"/>
    </row>
    <row r="448">
      <c r="A448" s="2">
        <v>13.0</v>
      </c>
      <c r="B448" s="2">
        <v>21.0</v>
      </c>
      <c r="C448" s="2" t="s">
        <v>176</v>
      </c>
      <c r="D448" s="2" t="s">
        <v>19</v>
      </c>
      <c r="E448" s="2" t="s">
        <v>845</v>
      </c>
      <c r="F448" s="3" t="s">
        <v>846</v>
      </c>
      <c r="G448" s="3"/>
    </row>
    <row r="449">
      <c r="A449" s="2">
        <v>13.0</v>
      </c>
      <c r="B449" s="2">
        <v>23.0</v>
      </c>
      <c r="C449" s="2" t="s">
        <v>176</v>
      </c>
      <c r="D449" s="13"/>
      <c r="E449" s="13"/>
      <c r="F449" s="14"/>
      <c r="G449" s="3"/>
    </row>
    <row r="450">
      <c r="A450" s="2">
        <v>13.0</v>
      </c>
      <c r="B450" s="2">
        <v>24.0</v>
      </c>
      <c r="C450" s="2" t="s">
        <v>176</v>
      </c>
      <c r="D450" s="13"/>
      <c r="E450" s="13"/>
      <c r="F450" s="14"/>
      <c r="G450" s="3"/>
    </row>
    <row r="451">
      <c r="A451" s="2">
        <v>13.0</v>
      </c>
      <c r="B451" s="2">
        <v>25.0</v>
      </c>
      <c r="C451" s="2" t="s">
        <v>176</v>
      </c>
      <c r="D451" s="13"/>
      <c r="E451" s="13"/>
      <c r="F451" s="14"/>
      <c r="G451" s="3"/>
    </row>
    <row r="452">
      <c r="A452" s="2">
        <v>14.0</v>
      </c>
      <c r="B452" s="2">
        <v>1.0</v>
      </c>
      <c r="C452" s="2" t="s">
        <v>7</v>
      </c>
      <c r="D452" s="2" t="s">
        <v>8</v>
      </c>
      <c r="E452" s="2" t="s">
        <v>847</v>
      </c>
      <c r="F452" s="3" t="s">
        <v>848</v>
      </c>
      <c r="G452" s="3"/>
    </row>
    <row r="453">
      <c r="A453" s="2">
        <v>14.0</v>
      </c>
      <c r="B453" s="2">
        <v>3.0</v>
      </c>
      <c r="C453" s="2" t="s">
        <v>7</v>
      </c>
      <c r="D453" s="2" t="s">
        <v>19</v>
      </c>
      <c r="E453" s="2" t="s">
        <v>849</v>
      </c>
      <c r="F453" s="3" t="s">
        <v>850</v>
      </c>
      <c r="G453" s="3"/>
    </row>
    <row r="454">
      <c r="A454" s="2">
        <v>14.0</v>
      </c>
      <c r="B454" s="2">
        <v>4.0</v>
      </c>
      <c r="C454" s="2" t="s">
        <v>7</v>
      </c>
      <c r="D454" s="2" t="s">
        <v>19</v>
      </c>
      <c r="E454" s="2" t="s">
        <v>851</v>
      </c>
      <c r="F454" s="3" t="s">
        <v>852</v>
      </c>
      <c r="G454" s="3"/>
    </row>
    <row r="455">
      <c r="A455" s="2">
        <v>14.0</v>
      </c>
      <c r="B455" s="2">
        <v>4.0</v>
      </c>
      <c r="C455" s="2" t="s">
        <v>7</v>
      </c>
      <c r="D455" s="2" t="s">
        <v>8</v>
      </c>
      <c r="E455" s="2" t="s">
        <v>853</v>
      </c>
      <c r="F455" s="3" t="s">
        <v>854</v>
      </c>
      <c r="G455" s="3"/>
    </row>
    <row r="456">
      <c r="A456" s="2">
        <v>14.0</v>
      </c>
      <c r="B456" s="2">
        <v>5.0</v>
      </c>
      <c r="C456" s="2" t="s">
        <v>7</v>
      </c>
      <c r="D456" s="2" t="s">
        <v>8</v>
      </c>
      <c r="E456" s="2" t="s">
        <v>855</v>
      </c>
      <c r="F456" s="3" t="s">
        <v>856</v>
      </c>
      <c r="G456" s="3"/>
    </row>
    <row r="457">
      <c r="A457" s="2">
        <v>14.0</v>
      </c>
      <c r="B457" s="2">
        <v>5.0</v>
      </c>
      <c r="C457" s="2" t="s">
        <v>7</v>
      </c>
      <c r="D457" s="2" t="s">
        <v>8</v>
      </c>
      <c r="E457" s="2" t="s">
        <v>857</v>
      </c>
      <c r="F457" s="3" t="s">
        <v>858</v>
      </c>
      <c r="G457" s="3"/>
    </row>
    <row r="458">
      <c r="A458" s="2">
        <v>14.0</v>
      </c>
      <c r="B458" s="2">
        <v>6.0</v>
      </c>
      <c r="C458" s="2" t="s">
        <v>7</v>
      </c>
      <c r="D458" s="13"/>
      <c r="E458" s="13"/>
      <c r="F458" s="14"/>
      <c r="G458" s="3"/>
    </row>
    <row r="459">
      <c r="A459" s="2">
        <v>14.0</v>
      </c>
      <c r="B459" s="2">
        <v>8.0</v>
      </c>
      <c r="C459" s="2" t="s">
        <v>7</v>
      </c>
      <c r="D459" s="2" t="s">
        <v>19</v>
      </c>
      <c r="E459" s="2" t="s">
        <v>859</v>
      </c>
      <c r="F459" s="17" t="s">
        <v>860</v>
      </c>
      <c r="G459" s="3"/>
    </row>
    <row r="460">
      <c r="A460" s="2">
        <v>14.0</v>
      </c>
      <c r="B460" s="2">
        <v>9.0</v>
      </c>
      <c r="C460" s="12" t="s">
        <v>59</v>
      </c>
      <c r="D460" s="2" t="s">
        <v>8</v>
      </c>
      <c r="E460" s="2" t="s">
        <v>861</v>
      </c>
      <c r="F460" s="3" t="s">
        <v>862</v>
      </c>
      <c r="G460" s="3"/>
    </row>
    <row r="461">
      <c r="A461" s="2">
        <v>14.0</v>
      </c>
      <c r="B461" s="2">
        <v>9.0</v>
      </c>
      <c r="C461" s="12" t="s">
        <v>59</v>
      </c>
      <c r="D461" s="2" t="s">
        <v>8</v>
      </c>
      <c r="E461" s="2" t="s">
        <v>863</v>
      </c>
      <c r="F461" s="3" t="s">
        <v>864</v>
      </c>
      <c r="G461" s="3"/>
    </row>
    <row r="462">
      <c r="A462" s="2">
        <v>14.0</v>
      </c>
      <c r="B462" s="2">
        <v>10.0</v>
      </c>
      <c r="C462" s="12" t="s">
        <v>59</v>
      </c>
      <c r="D462" s="2" t="s">
        <v>8</v>
      </c>
      <c r="E462" s="2" t="s">
        <v>865</v>
      </c>
      <c r="F462" s="3" t="s">
        <v>866</v>
      </c>
      <c r="G462" s="3"/>
    </row>
    <row r="463">
      <c r="A463" s="2">
        <v>14.0</v>
      </c>
      <c r="B463" s="2">
        <v>11.0</v>
      </c>
      <c r="C463" s="12" t="s">
        <v>59</v>
      </c>
      <c r="D463" s="2" t="s">
        <v>19</v>
      </c>
      <c r="E463" s="2" t="s">
        <v>867</v>
      </c>
      <c r="F463" s="3" t="s">
        <v>868</v>
      </c>
      <c r="G463" s="3"/>
    </row>
    <row r="464">
      <c r="A464" s="2">
        <v>14.0</v>
      </c>
      <c r="B464" s="2">
        <v>11.0</v>
      </c>
      <c r="C464" s="12" t="s">
        <v>59</v>
      </c>
      <c r="D464" s="2" t="s">
        <v>19</v>
      </c>
      <c r="E464" s="2" t="s">
        <v>869</v>
      </c>
      <c r="F464" s="3" t="s">
        <v>870</v>
      </c>
      <c r="G464" s="3"/>
    </row>
    <row r="465">
      <c r="A465" s="2">
        <v>14.0</v>
      </c>
      <c r="B465" s="2">
        <v>13.0</v>
      </c>
      <c r="C465" s="2" t="s">
        <v>40</v>
      </c>
      <c r="D465" s="2" t="s">
        <v>19</v>
      </c>
      <c r="E465" s="2" t="s">
        <v>871</v>
      </c>
      <c r="F465" s="3" t="s">
        <v>872</v>
      </c>
      <c r="G465" s="3"/>
    </row>
    <row r="466">
      <c r="A466" s="2">
        <v>14.0</v>
      </c>
      <c r="B466" s="2">
        <v>13.0</v>
      </c>
      <c r="C466" s="2" t="s">
        <v>40</v>
      </c>
      <c r="D466" s="2" t="s">
        <v>19</v>
      </c>
      <c r="E466" s="2" t="s">
        <v>873</v>
      </c>
      <c r="F466" s="3" t="s">
        <v>874</v>
      </c>
      <c r="G466" s="3"/>
    </row>
    <row r="467">
      <c r="A467" s="2">
        <v>14.0</v>
      </c>
      <c r="B467" s="2">
        <v>13.0</v>
      </c>
      <c r="C467" s="2" t="s">
        <v>40</v>
      </c>
      <c r="D467" s="2" t="s">
        <v>19</v>
      </c>
      <c r="E467" s="2" t="s">
        <v>875</v>
      </c>
      <c r="F467" s="3" t="s">
        <v>876</v>
      </c>
      <c r="G467" s="3"/>
    </row>
    <row r="468">
      <c r="A468" s="2">
        <v>14.0</v>
      </c>
      <c r="B468" s="2">
        <v>14.0</v>
      </c>
      <c r="C468" s="2" t="s">
        <v>28</v>
      </c>
      <c r="D468" s="13"/>
      <c r="E468" s="13"/>
      <c r="F468" s="14"/>
      <c r="G468" s="3"/>
    </row>
    <row r="469">
      <c r="A469" s="2">
        <v>14.0</v>
      </c>
      <c r="B469" s="2">
        <v>15.0</v>
      </c>
      <c r="C469" s="2" t="s">
        <v>28</v>
      </c>
      <c r="D469" s="13"/>
      <c r="E469" s="13"/>
      <c r="F469" s="14"/>
      <c r="G469" s="3"/>
    </row>
    <row r="470">
      <c r="A470" s="2">
        <v>14.0</v>
      </c>
      <c r="B470" s="2">
        <v>16.0</v>
      </c>
      <c r="C470" s="12" t="s">
        <v>47</v>
      </c>
      <c r="D470" s="2" t="s">
        <v>19</v>
      </c>
      <c r="E470" s="2" t="s">
        <v>877</v>
      </c>
      <c r="F470" s="3" t="s">
        <v>533</v>
      </c>
      <c r="G470" s="3"/>
    </row>
    <row r="471">
      <c r="A471" s="2">
        <v>14.0</v>
      </c>
      <c r="B471" s="2">
        <v>18.0</v>
      </c>
      <c r="C471" s="12" t="s">
        <v>47</v>
      </c>
      <c r="D471" s="2" t="s">
        <v>19</v>
      </c>
      <c r="E471" s="2" t="s">
        <v>878</v>
      </c>
      <c r="F471" s="3" t="s">
        <v>879</v>
      </c>
      <c r="G471" s="3"/>
    </row>
    <row r="472">
      <c r="A472" s="2">
        <v>14.0</v>
      </c>
      <c r="B472" s="2">
        <v>19.0</v>
      </c>
      <c r="C472" s="2" t="s">
        <v>72</v>
      </c>
      <c r="D472" s="2" t="s">
        <v>19</v>
      </c>
      <c r="E472" s="2" t="s">
        <v>880</v>
      </c>
      <c r="F472" s="3" t="s">
        <v>881</v>
      </c>
      <c r="G472" s="3"/>
    </row>
    <row r="473">
      <c r="A473" s="2">
        <v>14.0</v>
      </c>
      <c r="B473" s="2">
        <v>20.0</v>
      </c>
      <c r="C473" s="12" t="s">
        <v>72</v>
      </c>
      <c r="D473" s="2" t="s">
        <v>19</v>
      </c>
      <c r="E473" s="2" t="s">
        <v>882</v>
      </c>
      <c r="F473" s="3" t="s">
        <v>883</v>
      </c>
      <c r="G473" s="3"/>
    </row>
    <row r="474">
      <c r="A474" s="2">
        <v>14.0</v>
      </c>
      <c r="B474" s="2">
        <v>21.0</v>
      </c>
      <c r="C474" s="2" t="s">
        <v>33</v>
      </c>
      <c r="D474" s="2" t="s">
        <v>8</v>
      </c>
      <c r="E474" s="2" t="s">
        <v>884</v>
      </c>
      <c r="F474" s="3" t="s">
        <v>885</v>
      </c>
      <c r="G474" s="3"/>
    </row>
    <row r="475">
      <c r="A475" s="2">
        <v>14.0</v>
      </c>
      <c r="B475" s="2">
        <v>21.0</v>
      </c>
      <c r="C475" s="2" t="s">
        <v>33</v>
      </c>
      <c r="D475" s="2" t="s">
        <v>19</v>
      </c>
      <c r="E475" s="2" t="s">
        <v>886</v>
      </c>
      <c r="F475" s="3" t="s">
        <v>887</v>
      </c>
      <c r="G475" s="3"/>
    </row>
    <row r="476">
      <c r="A476" s="2">
        <v>14.0</v>
      </c>
      <c r="B476" s="2">
        <v>23.0</v>
      </c>
      <c r="C476" s="2" t="s">
        <v>33</v>
      </c>
      <c r="D476" s="13"/>
      <c r="E476" s="16"/>
      <c r="F476" s="14"/>
      <c r="G476" s="3"/>
    </row>
    <row r="477">
      <c r="A477" s="2">
        <v>14.0</v>
      </c>
      <c r="B477" s="2">
        <v>24.0</v>
      </c>
      <c r="C477" s="2" t="s">
        <v>54</v>
      </c>
      <c r="D477" s="13"/>
      <c r="E477" s="16"/>
      <c r="F477" s="14"/>
      <c r="G477" s="3"/>
    </row>
    <row r="478">
      <c r="A478" s="2">
        <v>14.0</v>
      </c>
      <c r="B478" s="2">
        <v>25.0</v>
      </c>
      <c r="C478" s="2" t="s">
        <v>176</v>
      </c>
      <c r="D478" s="2" t="s">
        <v>8</v>
      </c>
      <c r="E478" s="2" t="s">
        <v>888</v>
      </c>
      <c r="F478" s="3" t="s">
        <v>889</v>
      </c>
      <c r="G478" s="3"/>
    </row>
    <row r="479">
      <c r="A479" s="2">
        <v>14.0</v>
      </c>
      <c r="B479" s="2">
        <v>25.0</v>
      </c>
      <c r="C479" s="2" t="s">
        <v>176</v>
      </c>
      <c r="D479" s="2" t="s">
        <v>8</v>
      </c>
      <c r="E479" s="2" t="s">
        <v>890</v>
      </c>
      <c r="F479" s="3" t="s">
        <v>891</v>
      </c>
      <c r="G479" s="3"/>
    </row>
    <row r="480">
      <c r="A480" s="2">
        <v>14.0</v>
      </c>
      <c r="B480" s="2">
        <v>26.0</v>
      </c>
      <c r="C480" s="2" t="s">
        <v>176</v>
      </c>
      <c r="D480" s="13"/>
      <c r="E480" s="16"/>
      <c r="F480" s="14"/>
      <c r="G480" s="3"/>
    </row>
  </sheetData>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1" max="1" width="13.0"/>
    <col customWidth="1" min="2" max="2" width="13.14"/>
    <col customWidth="1" min="3" max="3" width="15.43"/>
    <col customWidth="1" min="4" max="4" width="11.43"/>
    <col customWidth="1" min="5" max="5" width="22.0"/>
    <col customWidth="1" min="6" max="6" width="23.43"/>
    <col customWidth="1" min="7" max="7" width="6.0"/>
    <col customWidth="1" min="8" max="8" width="17.29"/>
    <col customWidth="1" min="9" max="9" width="15.86"/>
    <col customWidth="1" min="10" max="10" width="20.29"/>
    <col customWidth="1" min="11" max="11" width="14.14"/>
    <col customWidth="1" min="12" max="12" width="128.29"/>
  </cols>
  <sheetData>
    <row r="1">
      <c r="A1" s="63" t="s">
        <v>0</v>
      </c>
      <c r="B1" s="85" t="s">
        <v>4203</v>
      </c>
      <c r="C1" s="85" t="s">
        <v>4204</v>
      </c>
      <c r="D1" s="86"/>
      <c r="E1" s="85" t="s">
        <v>4205</v>
      </c>
      <c r="F1" s="85" t="s">
        <v>4206</v>
      </c>
      <c r="G1" s="85"/>
      <c r="H1" s="85" t="s">
        <v>4207</v>
      </c>
      <c r="I1" s="85" t="s">
        <v>4208</v>
      </c>
      <c r="J1" s="85" t="s">
        <v>4209</v>
      </c>
      <c r="K1" s="86" t="s">
        <v>4210</v>
      </c>
      <c r="L1" s="85"/>
    </row>
    <row r="2">
      <c r="A2" s="87" t="s">
        <v>3176</v>
      </c>
      <c r="B2" s="85">
        <f>countif(ChallengeQuotesInterviewId,A2)</f>
        <v>14</v>
      </c>
      <c r="C2" s="85">
        <f>COUNTIFS(ChallengesFirstInterviewId,A2)</f>
        <v>10</v>
      </c>
      <c r="D2" s="88"/>
      <c r="E2" s="85">
        <f>countif(RecommendationQuotesInterviewId,A2)</f>
        <v>19</v>
      </c>
      <c r="F2" s="85">
        <f>COUNTIFS(RecommendationsFirstInterviewId,A2)</f>
        <v>11</v>
      </c>
      <c r="G2" s="88"/>
      <c r="H2" s="85">
        <f t="shared" ref="H2:I2" si="1">B2+E2</f>
        <v>33</v>
      </c>
      <c r="I2" s="85">
        <f t="shared" si="1"/>
        <v>21</v>
      </c>
      <c r="J2" s="89">
        <f t="shared" ref="J2:J15" si="3">(I2)/(H2)</f>
        <v>0.6363636364</v>
      </c>
      <c r="K2" s="90">
        <f t="shared" ref="K2:K15" si="4">1-J2</f>
        <v>0.3636363636</v>
      </c>
      <c r="L2" s="88"/>
    </row>
    <row r="3">
      <c r="A3" s="87" t="s">
        <v>3215</v>
      </c>
      <c r="B3" s="85">
        <f>countif(ChallengeQuotesInterviewId,A3)</f>
        <v>14</v>
      </c>
      <c r="C3" s="85">
        <f>COUNTIFS(ChallengesFirstInterviewId,A3)</f>
        <v>9</v>
      </c>
      <c r="D3" s="88"/>
      <c r="E3" s="85">
        <f>countif(RecommendationQuotesInterviewId,A3)</f>
        <v>20</v>
      </c>
      <c r="F3" s="85">
        <f>COUNTIFS(RecommendationsFirstInterviewId,A3)</f>
        <v>13</v>
      </c>
      <c r="G3" s="88"/>
      <c r="H3" s="85">
        <f t="shared" ref="H3:I3" si="2">B3+E3</f>
        <v>34</v>
      </c>
      <c r="I3" s="85">
        <f t="shared" si="2"/>
        <v>22</v>
      </c>
      <c r="J3" s="89">
        <f t="shared" si="3"/>
        <v>0.6470588235</v>
      </c>
      <c r="K3" s="90">
        <f t="shared" si="4"/>
        <v>0.3529411765</v>
      </c>
      <c r="L3" s="88"/>
    </row>
    <row r="4">
      <c r="A4" s="87" t="s">
        <v>3235</v>
      </c>
      <c r="B4" s="85">
        <f>countif(ChallengeQuotesInterviewId,A4)</f>
        <v>10</v>
      </c>
      <c r="C4" s="85">
        <f>COUNTIFS(ChallengesFirstInterviewId,A4)</f>
        <v>6</v>
      </c>
      <c r="D4" s="88"/>
      <c r="E4" s="85">
        <f>countif(RecommendationQuotesInterviewId,A4)</f>
        <v>21</v>
      </c>
      <c r="F4" s="85">
        <f>COUNTIFS(RecommendationsFirstInterviewId,A4)</f>
        <v>13</v>
      </c>
      <c r="G4" s="88"/>
      <c r="H4" s="85">
        <f t="shared" ref="H4:I4" si="5">B4+E4</f>
        <v>31</v>
      </c>
      <c r="I4" s="85">
        <f t="shared" si="5"/>
        <v>19</v>
      </c>
      <c r="J4" s="89">
        <f t="shared" si="3"/>
        <v>0.6129032258</v>
      </c>
      <c r="K4" s="90">
        <f t="shared" si="4"/>
        <v>0.3870967742</v>
      </c>
      <c r="L4" s="88"/>
    </row>
    <row r="5">
      <c r="A5" s="87" t="s">
        <v>3246</v>
      </c>
      <c r="B5" s="85">
        <f>countif(ChallengeQuotesInterviewId,A5)</f>
        <v>12</v>
      </c>
      <c r="C5" s="85">
        <f>COUNTIFS(ChallengesFirstInterviewId,A5)</f>
        <v>3</v>
      </c>
      <c r="D5" s="88"/>
      <c r="E5" s="85">
        <f>countif(RecommendationQuotesInterviewId,A5)</f>
        <v>41</v>
      </c>
      <c r="F5" s="85">
        <f>COUNTIFS(RecommendationsFirstInterviewId,A5)</f>
        <v>30</v>
      </c>
      <c r="G5" s="88"/>
      <c r="H5" s="85">
        <f t="shared" ref="H5:I5" si="6">B5+E5</f>
        <v>53</v>
      </c>
      <c r="I5" s="85">
        <f t="shared" si="6"/>
        <v>33</v>
      </c>
      <c r="J5" s="89">
        <f t="shared" si="3"/>
        <v>0.6226415094</v>
      </c>
      <c r="K5" s="90">
        <f t="shared" si="4"/>
        <v>0.3773584906</v>
      </c>
      <c r="L5" s="88"/>
    </row>
    <row r="6">
      <c r="A6" s="87" t="s">
        <v>3282</v>
      </c>
      <c r="B6" s="85">
        <f>countif(ChallengeQuotesInterviewId,A6)</f>
        <v>18</v>
      </c>
      <c r="C6" s="85">
        <f>COUNTIFS(ChallengesFirstInterviewId,A6)</f>
        <v>11</v>
      </c>
      <c r="D6" s="88"/>
      <c r="E6" s="85">
        <f>countif(RecommendationQuotesInterviewId,A6)</f>
        <v>22</v>
      </c>
      <c r="F6" s="85">
        <f>COUNTIFS(RecommendationsFirstInterviewId,A6)</f>
        <v>13</v>
      </c>
      <c r="G6" s="88"/>
      <c r="H6" s="85">
        <f t="shared" ref="H6:I6" si="7">B6+E6</f>
        <v>40</v>
      </c>
      <c r="I6" s="85">
        <f t="shared" si="7"/>
        <v>24</v>
      </c>
      <c r="J6" s="89">
        <f t="shared" si="3"/>
        <v>0.6</v>
      </c>
      <c r="K6" s="90">
        <f t="shared" si="4"/>
        <v>0.4</v>
      </c>
      <c r="L6" s="88"/>
    </row>
    <row r="7">
      <c r="A7" s="87" t="s">
        <v>3318</v>
      </c>
      <c r="B7" s="85">
        <f>countif(ChallengeQuotesInterviewId,A7)</f>
        <v>11</v>
      </c>
      <c r="C7" s="85">
        <f>COUNTIFS(ChallengesFirstInterviewId,A7)</f>
        <v>2</v>
      </c>
      <c r="D7" s="88"/>
      <c r="E7" s="85">
        <f>countif(RecommendationQuotesInterviewId,A7)</f>
        <v>13</v>
      </c>
      <c r="F7" s="85">
        <f>COUNTIFS(RecommendationsFirstInterviewId,A7)</f>
        <v>10</v>
      </c>
      <c r="G7" s="88"/>
      <c r="H7" s="85">
        <f t="shared" ref="H7:I7" si="8">B7+E7</f>
        <v>24</v>
      </c>
      <c r="I7" s="85">
        <f t="shared" si="8"/>
        <v>12</v>
      </c>
      <c r="J7" s="89">
        <f t="shared" si="3"/>
        <v>0.5</v>
      </c>
      <c r="K7" s="90">
        <f t="shared" si="4"/>
        <v>0.5</v>
      </c>
      <c r="L7" s="88"/>
    </row>
    <row r="8">
      <c r="A8" s="87" t="s">
        <v>3252</v>
      </c>
      <c r="B8" s="85">
        <f>countif(ChallengeQuotesInterviewId,A8)</f>
        <v>12</v>
      </c>
      <c r="C8" s="85">
        <f>COUNTIFS(ChallengesFirstInterviewId,A8)</f>
        <v>5</v>
      </c>
      <c r="D8" s="88"/>
      <c r="E8" s="85">
        <f>countif(RecommendationQuotesInterviewId,A8)</f>
        <v>23</v>
      </c>
      <c r="F8" s="85">
        <f>COUNTIFS(RecommendationsFirstInterviewId,A8)</f>
        <v>11</v>
      </c>
      <c r="G8" s="88"/>
      <c r="H8" s="85">
        <f t="shared" ref="H8:I8" si="9">B8+E8</f>
        <v>35</v>
      </c>
      <c r="I8" s="85">
        <f t="shared" si="9"/>
        <v>16</v>
      </c>
      <c r="J8" s="89">
        <f t="shared" si="3"/>
        <v>0.4571428571</v>
      </c>
      <c r="K8" s="90">
        <f t="shared" si="4"/>
        <v>0.5428571429</v>
      </c>
      <c r="L8" s="88"/>
    </row>
    <row r="9">
      <c r="A9" s="87" t="s">
        <v>3329</v>
      </c>
      <c r="B9" s="85">
        <f>countif(ChallengeQuotesInterviewId,A9)</f>
        <v>19</v>
      </c>
      <c r="C9" s="85">
        <f>COUNTIFS(ChallengesFirstInterviewId,A9)</f>
        <v>6</v>
      </c>
      <c r="D9" s="88"/>
      <c r="E9" s="85">
        <f>countif(RecommendationQuotesInterviewId,A9)</f>
        <v>46</v>
      </c>
      <c r="F9" s="85">
        <f>COUNTIFS(RecommendationsFirstInterviewId,A9)</f>
        <v>21</v>
      </c>
      <c r="G9" s="88"/>
      <c r="H9" s="85">
        <f t="shared" ref="H9:I9" si="10">B9+E9</f>
        <v>65</v>
      </c>
      <c r="I9" s="85">
        <f t="shared" si="10"/>
        <v>27</v>
      </c>
      <c r="J9" s="89">
        <f t="shared" si="3"/>
        <v>0.4153846154</v>
      </c>
      <c r="K9" s="90">
        <f t="shared" si="4"/>
        <v>0.5846153846</v>
      </c>
      <c r="L9" s="88"/>
    </row>
    <row r="10">
      <c r="A10" s="87" t="s">
        <v>3266</v>
      </c>
      <c r="B10" s="85">
        <f>countif(ChallengeQuotesInterviewId,A10)</f>
        <v>20</v>
      </c>
      <c r="C10" s="85">
        <f>COUNTIFS(ChallengesFirstInterviewId,A10)</f>
        <v>8</v>
      </c>
      <c r="D10" s="88"/>
      <c r="E10" s="85">
        <f>countif(RecommendationQuotesInterviewId,A10)</f>
        <v>28</v>
      </c>
      <c r="F10" s="85">
        <f>COUNTIFS(RecommendationsFirstInterviewId,A10)</f>
        <v>14</v>
      </c>
      <c r="G10" s="88"/>
      <c r="H10" s="85">
        <f t="shared" ref="H10:I10" si="11">B10+E10</f>
        <v>48</v>
      </c>
      <c r="I10" s="85">
        <f t="shared" si="11"/>
        <v>22</v>
      </c>
      <c r="J10" s="89">
        <f t="shared" si="3"/>
        <v>0.4583333333</v>
      </c>
      <c r="K10" s="90">
        <f t="shared" si="4"/>
        <v>0.5416666667</v>
      </c>
      <c r="L10" s="88"/>
    </row>
    <row r="11">
      <c r="A11" s="63">
        <v>10.0</v>
      </c>
      <c r="B11" s="85">
        <f>countif(ChallengeQuotesInterviewId,A11)</f>
        <v>20</v>
      </c>
      <c r="C11" s="85">
        <f>COUNTIFS(ChallengesFirstInterviewId,A11)</f>
        <v>9</v>
      </c>
      <c r="D11" s="88"/>
      <c r="E11" s="85">
        <f>countif(RecommendationQuotesInterviewId,A11)</f>
        <v>33</v>
      </c>
      <c r="F11" s="85">
        <f>COUNTIFS(RecommendationsFirstInterviewId,A11)</f>
        <v>12</v>
      </c>
      <c r="G11" s="88"/>
      <c r="H11" s="85">
        <f t="shared" ref="H11:I11" si="12">B11+E11</f>
        <v>53</v>
      </c>
      <c r="I11" s="85">
        <f t="shared" si="12"/>
        <v>21</v>
      </c>
      <c r="J11" s="89">
        <f t="shared" si="3"/>
        <v>0.3962264151</v>
      </c>
      <c r="K11" s="90">
        <f t="shared" si="4"/>
        <v>0.6037735849</v>
      </c>
      <c r="L11" s="88"/>
    </row>
    <row r="12">
      <c r="A12" s="63">
        <v>11.0</v>
      </c>
      <c r="B12" s="85">
        <f>countif(ChallengeQuotesInterviewId,A12)</f>
        <v>13</v>
      </c>
      <c r="C12" s="85">
        <f>COUNTIFS(ChallengesFirstInterviewId,A12)</f>
        <v>2</v>
      </c>
      <c r="D12" s="88"/>
      <c r="E12" s="85">
        <f>countif(RecommendationQuotesInterviewId,A12)</f>
        <v>24</v>
      </c>
      <c r="F12" s="85">
        <f>COUNTIFS(RecommendationsFirstInterviewId,A12)</f>
        <v>12</v>
      </c>
      <c r="G12" s="88"/>
      <c r="H12" s="85">
        <f t="shared" ref="H12:I12" si="13">B12+E12</f>
        <v>37</v>
      </c>
      <c r="I12" s="85">
        <f t="shared" si="13"/>
        <v>14</v>
      </c>
      <c r="J12" s="89">
        <f t="shared" si="3"/>
        <v>0.3783783784</v>
      </c>
      <c r="K12" s="90">
        <f t="shared" si="4"/>
        <v>0.6216216216</v>
      </c>
      <c r="L12" s="88"/>
    </row>
    <row r="13">
      <c r="A13" s="63">
        <v>12.0</v>
      </c>
      <c r="B13" s="85">
        <f>countif(ChallengeQuotesInterviewId,A13)</f>
        <v>18</v>
      </c>
      <c r="C13" s="85">
        <f>COUNTIFS(ChallengesFirstInterviewId,A13)</f>
        <v>4</v>
      </c>
      <c r="D13" s="88"/>
      <c r="E13" s="85">
        <f>countif(RecommendationQuotesInterviewId,A13)</f>
        <v>51</v>
      </c>
      <c r="F13" s="85">
        <f>COUNTIFS(RecommendationsFirstInterviewId,A13)</f>
        <v>13</v>
      </c>
      <c r="G13" s="88"/>
      <c r="H13" s="85">
        <f t="shared" ref="H13:I13" si="14">B13+E13</f>
        <v>69</v>
      </c>
      <c r="I13" s="85">
        <f t="shared" si="14"/>
        <v>17</v>
      </c>
      <c r="J13" s="89">
        <f t="shared" si="3"/>
        <v>0.2463768116</v>
      </c>
      <c r="K13" s="90">
        <f t="shared" si="4"/>
        <v>0.7536231884</v>
      </c>
      <c r="L13" s="88"/>
    </row>
    <row r="14">
      <c r="A14" s="63">
        <v>13.0</v>
      </c>
      <c r="B14" s="85">
        <f>countif(ChallengeQuotesInterviewId,A14)</f>
        <v>5</v>
      </c>
      <c r="C14" s="85">
        <f>COUNTIFS(ChallengesFirstInterviewId,A14)</f>
        <v>3</v>
      </c>
      <c r="D14" s="88"/>
      <c r="E14" s="85">
        <f>countif(RecommendationQuotesInterviewId,A14)</f>
        <v>26</v>
      </c>
      <c r="F14" s="85">
        <f>COUNTIFS(RecommendationsFirstInterviewId,A14)</f>
        <v>6</v>
      </c>
      <c r="G14" s="88"/>
      <c r="H14" s="85">
        <f t="shared" ref="H14:I14" si="15">B14+E14</f>
        <v>31</v>
      </c>
      <c r="I14" s="85">
        <f t="shared" si="15"/>
        <v>9</v>
      </c>
      <c r="J14" s="89">
        <f t="shared" si="3"/>
        <v>0.2903225806</v>
      </c>
      <c r="K14" s="90">
        <f t="shared" si="4"/>
        <v>0.7096774194</v>
      </c>
      <c r="L14" s="88"/>
    </row>
    <row r="15">
      <c r="A15" s="63">
        <v>14.0</v>
      </c>
      <c r="B15" s="85">
        <f>countif(ChallengeQuotesInterviewId,A15)</f>
        <v>22</v>
      </c>
      <c r="C15" s="85">
        <f>COUNTIFS(ChallengesFirstInterviewId,A15)</f>
        <v>5</v>
      </c>
      <c r="D15" s="88"/>
      <c r="E15" s="85">
        <f>countif(RecommendationQuotesInterviewId,A15)</f>
        <v>26</v>
      </c>
      <c r="F15" s="85">
        <f>COUNTIFS(RecommendationsFirstInterviewId,A15)</f>
        <v>6</v>
      </c>
      <c r="G15" s="88"/>
      <c r="H15" s="85">
        <f t="shared" ref="H15:I15" si="16">B15+E15</f>
        <v>48</v>
      </c>
      <c r="I15" s="85">
        <f t="shared" si="16"/>
        <v>11</v>
      </c>
      <c r="J15" s="89">
        <f t="shared" si="3"/>
        <v>0.2291666667</v>
      </c>
      <c r="K15" s="90">
        <f t="shared" si="4"/>
        <v>0.7708333333</v>
      </c>
      <c r="L15" s="88"/>
    </row>
    <row r="16">
      <c r="A16" s="63"/>
      <c r="B16" s="85"/>
      <c r="C16" s="85"/>
      <c r="D16" s="85"/>
      <c r="E16" s="85"/>
      <c r="F16" s="85"/>
      <c r="G16" s="85"/>
      <c r="H16" s="85"/>
      <c r="I16" s="85"/>
      <c r="J16" s="89"/>
      <c r="K16" s="86"/>
      <c r="L16" s="85"/>
    </row>
    <row r="17">
      <c r="A17" s="63" t="s">
        <v>4211</v>
      </c>
      <c r="B17" s="85">
        <f t="shared" ref="B17:C17" si="17">sum(B2:B15)</f>
        <v>208</v>
      </c>
      <c r="C17" s="85">
        <f t="shared" si="17"/>
        <v>83</v>
      </c>
      <c r="D17" s="85"/>
      <c r="E17" s="85">
        <f t="shared" ref="E17:F17" si="18">sum(E2:E15)</f>
        <v>393</v>
      </c>
      <c r="F17" s="85">
        <f t="shared" si="18"/>
        <v>185</v>
      </c>
      <c r="G17" s="85"/>
      <c r="H17" s="85">
        <f t="shared" ref="H17:I17" si="19">sum(H2:H15)</f>
        <v>601</v>
      </c>
      <c r="I17" s="85">
        <f t="shared" si="19"/>
        <v>268</v>
      </c>
      <c r="J17" s="89"/>
      <c r="K17" s="86"/>
      <c r="L17" s="85"/>
    </row>
  </sheetData>
  <drawing r:id="rId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15.29"/>
    <col customWidth="1" min="2" max="2" width="97.0"/>
    <col customWidth="1" min="3" max="3" width="5.86"/>
    <col customWidth="1" min="4" max="4" width="22.86"/>
    <col customWidth="1" min="5" max="5" width="80.43"/>
    <col customWidth="1" min="6" max="6" width="20.14"/>
  </cols>
  <sheetData>
    <row r="1">
      <c r="A1" s="85" t="s">
        <v>4212</v>
      </c>
      <c r="B1" s="86" t="s">
        <v>4213</v>
      </c>
      <c r="C1" s="63"/>
      <c r="D1" s="85" t="s">
        <v>4212</v>
      </c>
      <c r="E1" s="86" t="s">
        <v>4214</v>
      </c>
      <c r="F1" s="85"/>
    </row>
    <row r="2">
      <c r="A2" s="85">
        <v>8.0</v>
      </c>
      <c r="B2" s="86" t="s">
        <v>4215</v>
      </c>
      <c r="C2" s="63"/>
      <c r="D2" s="85">
        <v>7.0</v>
      </c>
      <c r="E2" s="86" t="s">
        <v>4216</v>
      </c>
      <c r="F2" s="85"/>
    </row>
    <row r="3">
      <c r="A3" s="85">
        <v>7.0</v>
      </c>
      <c r="B3" s="86" t="s">
        <v>4217</v>
      </c>
      <c r="C3" s="63"/>
      <c r="D3" s="85">
        <v>6.0</v>
      </c>
      <c r="E3" s="86" t="s">
        <v>4218</v>
      </c>
      <c r="F3" s="85"/>
    </row>
    <row r="4">
      <c r="A4" s="85">
        <v>6.0</v>
      </c>
      <c r="B4" s="86" t="s">
        <v>4219</v>
      </c>
      <c r="C4" s="63"/>
      <c r="D4" s="85">
        <v>5.0</v>
      </c>
      <c r="E4" s="86" t="s">
        <v>4220</v>
      </c>
      <c r="F4" s="85"/>
    </row>
    <row r="5">
      <c r="A5" s="85">
        <v>5.0</v>
      </c>
      <c r="B5" s="86" t="s">
        <v>4221</v>
      </c>
      <c r="C5" s="63"/>
      <c r="D5" s="85">
        <v>4.0</v>
      </c>
      <c r="E5" s="86" t="s">
        <v>4222</v>
      </c>
      <c r="F5" s="85"/>
    </row>
    <row r="6">
      <c r="A6" s="85">
        <v>4.0</v>
      </c>
      <c r="B6" s="86" t="s">
        <v>4223</v>
      </c>
      <c r="C6" s="63"/>
      <c r="D6" s="85"/>
      <c r="E6" s="85"/>
      <c r="F6" s="85"/>
    </row>
  </sheetData>
  <drawing r:id="rId1"/>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38.0"/>
    <col customWidth="1" min="2" max="3" width="10.14"/>
    <col customWidth="1" min="4" max="4" width="16.86"/>
    <col customWidth="1" min="5" max="5" width="15.86"/>
    <col customWidth="1" min="6" max="6" width="14.29"/>
    <col customWidth="1" min="7" max="7" width="11.71"/>
    <col customWidth="1" min="8" max="8" width="20.14"/>
  </cols>
  <sheetData>
    <row r="1">
      <c r="B1" s="86" t="s">
        <v>4224</v>
      </c>
      <c r="C1" s="86" t="s">
        <v>4225</v>
      </c>
      <c r="D1" s="86" t="s">
        <v>4226</v>
      </c>
      <c r="E1" s="86" t="s">
        <v>4227</v>
      </c>
      <c r="F1" s="86" t="s">
        <v>4228</v>
      </c>
      <c r="G1" s="86" t="s">
        <v>4229</v>
      </c>
      <c r="H1" s="85"/>
    </row>
    <row r="2">
      <c r="A2" s="86" t="s">
        <v>4230</v>
      </c>
      <c r="B2" s="85">
        <v>91.0</v>
      </c>
      <c r="C2" s="85">
        <f>G2-B2</f>
        <v>117</v>
      </c>
      <c r="D2" s="63"/>
      <c r="E2" s="85"/>
      <c r="F2" s="88"/>
      <c r="G2" s="85">
        <v>208.0</v>
      </c>
      <c r="H2" s="85"/>
    </row>
    <row r="3">
      <c r="A3" s="86" t="s">
        <v>4231</v>
      </c>
      <c r="B3" s="88">
        <f t="shared" ref="B3:C3" si="1">B2/$G$2</f>
        <v>0.4375</v>
      </c>
      <c r="C3" s="88">
        <f t="shared" si="1"/>
        <v>0.5625</v>
      </c>
      <c r="D3" s="63"/>
      <c r="E3" s="85"/>
      <c r="F3" s="88"/>
      <c r="G3" s="88">
        <f>G2/$G$2</f>
        <v>1</v>
      </c>
      <c r="H3" s="85"/>
    </row>
    <row r="4">
      <c r="A4" s="91" t="s">
        <v>4232</v>
      </c>
      <c r="B4" s="85">
        <f>countif(Challenges!N:N,true)</f>
        <v>0</v>
      </c>
      <c r="C4" s="85">
        <f>countif(Challenges!O:O,true)</f>
        <v>0</v>
      </c>
      <c r="D4" s="85">
        <f>countif(Challenges!P:P,true)</f>
        <v>46</v>
      </c>
      <c r="E4" s="85">
        <f>B4-D4</f>
        <v>-46</v>
      </c>
      <c r="F4" s="85">
        <f>C4-D4</f>
        <v>-46</v>
      </c>
      <c r="G4" s="85">
        <v>83.0</v>
      </c>
      <c r="H4" s="85"/>
    </row>
    <row r="5">
      <c r="A5" s="91" t="s">
        <v>4233</v>
      </c>
      <c r="B5" s="90">
        <f t="shared" ref="B5:G5" si="2">B4/$G$4</f>
        <v>0</v>
      </c>
      <c r="C5" s="90">
        <f t="shared" si="2"/>
        <v>0</v>
      </c>
      <c r="D5" s="90">
        <f t="shared" si="2"/>
        <v>0.5542168675</v>
      </c>
      <c r="E5" s="88">
        <f t="shared" si="2"/>
        <v>-0.5542168675</v>
      </c>
      <c r="F5" s="88">
        <f t="shared" si="2"/>
        <v>-0.5542168675</v>
      </c>
      <c r="G5" s="88">
        <f t="shared" si="2"/>
        <v>1</v>
      </c>
      <c r="H5" s="85"/>
    </row>
    <row r="6">
      <c r="A6" s="86"/>
      <c r="B6" s="85"/>
      <c r="C6" s="86"/>
      <c r="D6" s="63"/>
      <c r="E6" s="85"/>
      <c r="F6" s="86"/>
      <c r="G6" s="85"/>
      <c r="H6" s="85"/>
    </row>
    <row r="7">
      <c r="A7" s="86" t="s">
        <v>4234</v>
      </c>
      <c r="B7" s="85">
        <v>159.0</v>
      </c>
      <c r="C7" s="85">
        <f>G7-B7</f>
        <v>234</v>
      </c>
      <c r="D7" s="63"/>
      <c r="E7" s="85"/>
      <c r="F7" s="88"/>
      <c r="G7" s="85">
        <v>393.0</v>
      </c>
      <c r="H7" s="85"/>
    </row>
    <row r="8">
      <c r="A8" s="86" t="s">
        <v>4235</v>
      </c>
      <c r="B8" s="88">
        <f t="shared" ref="B8:C8" si="3">B7/$G$7</f>
        <v>0.4045801527</v>
      </c>
      <c r="C8" s="88">
        <f t="shared" si="3"/>
        <v>0.5954198473</v>
      </c>
      <c r="D8" s="63"/>
      <c r="E8" s="85"/>
      <c r="F8" s="88"/>
      <c r="G8" s="88">
        <f>G7/$G$7</f>
        <v>1</v>
      </c>
      <c r="H8" s="85"/>
    </row>
    <row r="9">
      <c r="A9" s="86" t="s">
        <v>4236</v>
      </c>
      <c r="B9" s="85">
        <f>countif(Recommendations!N:N,true)</f>
        <v>0</v>
      </c>
      <c r="C9" s="85">
        <f>countif(Recommendations!O:O,true)</f>
        <v>0</v>
      </c>
      <c r="D9" s="85">
        <f>countif(Recommendations!P:P,true)</f>
        <v>101</v>
      </c>
      <c r="E9" s="85">
        <f>B9-D9</f>
        <v>-101</v>
      </c>
      <c r="F9" s="85">
        <f>C9-D9</f>
        <v>-101</v>
      </c>
      <c r="G9" s="85">
        <v>185.0</v>
      </c>
      <c r="H9" s="85"/>
    </row>
    <row r="10">
      <c r="A10" s="86" t="s">
        <v>4237</v>
      </c>
      <c r="B10" s="90">
        <f t="shared" ref="B10:G10" si="4">B9/$G$9</f>
        <v>0</v>
      </c>
      <c r="C10" s="90">
        <f t="shared" si="4"/>
        <v>0</v>
      </c>
      <c r="D10" s="90">
        <f t="shared" si="4"/>
        <v>0.5459459459</v>
      </c>
      <c r="E10" s="88">
        <f t="shared" si="4"/>
        <v>-0.5459459459</v>
      </c>
      <c r="F10" s="88">
        <f t="shared" si="4"/>
        <v>-0.5459459459</v>
      </c>
      <c r="G10" s="88">
        <f t="shared" si="4"/>
        <v>1</v>
      </c>
      <c r="H10" s="85"/>
    </row>
    <row r="11">
      <c r="A11" s="86"/>
      <c r="B11" s="90"/>
      <c r="C11" s="90"/>
      <c r="D11" s="90"/>
      <c r="E11" s="88"/>
      <c r="F11" s="88"/>
      <c r="G11" s="88"/>
      <c r="H11" s="85"/>
    </row>
    <row r="12">
      <c r="A12" s="86"/>
      <c r="B12" s="90"/>
      <c r="C12" s="90"/>
      <c r="D12" s="90"/>
      <c r="E12" s="88"/>
      <c r="F12" s="88"/>
      <c r="G12" s="88"/>
      <c r="H12" s="85"/>
    </row>
    <row r="13">
      <c r="A13" s="86"/>
      <c r="B13" s="90"/>
      <c r="C13" s="90"/>
      <c r="D13" s="90"/>
      <c r="E13" s="88"/>
      <c r="F13" s="88"/>
      <c r="G13" s="88"/>
      <c r="H13" s="85"/>
    </row>
    <row r="14">
      <c r="A14" s="86"/>
      <c r="B14" s="90"/>
      <c r="C14" s="90"/>
      <c r="D14" s="90"/>
      <c r="E14" s="88"/>
      <c r="F14" s="88"/>
      <c r="G14" s="88"/>
      <c r="H14" s="85"/>
    </row>
    <row r="15">
      <c r="A15" s="86"/>
      <c r="B15" s="90"/>
      <c r="C15" s="90"/>
      <c r="D15" s="90"/>
      <c r="E15" s="88"/>
      <c r="F15" s="88"/>
      <c r="G15" s="88"/>
      <c r="H15" s="85"/>
    </row>
    <row r="16">
      <c r="A16" s="86"/>
      <c r="B16" s="90"/>
      <c r="C16" s="90"/>
      <c r="D16" s="90"/>
      <c r="E16" s="88"/>
      <c r="F16" s="88"/>
      <c r="G16" s="88"/>
      <c r="H16" s="85"/>
    </row>
    <row r="17">
      <c r="A17" s="86"/>
      <c r="B17" s="90"/>
      <c r="C17" s="90"/>
      <c r="D17" s="90"/>
      <c r="E17" s="88"/>
      <c r="F17" s="88"/>
      <c r="G17" s="88"/>
      <c r="H17" s="85"/>
    </row>
    <row r="18">
      <c r="A18" s="86"/>
      <c r="B18" s="90"/>
      <c r="C18" s="90"/>
      <c r="D18" s="90"/>
      <c r="E18" s="88"/>
      <c r="F18" s="88"/>
      <c r="G18" s="88"/>
      <c r="H18" s="85"/>
    </row>
    <row r="19">
      <c r="A19" s="86"/>
      <c r="B19" s="90"/>
      <c r="C19" s="90"/>
      <c r="D19" s="90"/>
      <c r="E19" s="88"/>
      <c r="F19" s="88"/>
      <c r="G19" s="88"/>
      <c r="H19" s="85"/>
    </row>
    <row r="20">
      <c r="A20" s="86"/>
      <c r="B20" s="90"/>
      <c r="C20" s="90"/>
      <c r="D20" s="90"/>
      <c r="E20" s="88"/>
      <c r="F20" s="88"/>
      <c r="G20" s="88"/>
      <c r="H20" s="85"/>
    </row>
    <row r="21">
      <c r="A21" s="86"/>
      <c r="B21" s="90"/>
      <c r="C21" s="90"/>
      <c r="D21" s="90"/>
      <c r="E21" s="88"/>
      <c r="F21" s="88"/>
      <c r="G21" s="88"/>
      <c r="H21" s="85"/>
    </row>
    <row r="22">
      <c r="A22" s="86"/>
      <c r="B22" s="90"/>
      <c r="C22" s="90"/>
      <c r="D22" s="90"/>
      <c r="E22" s="88"/>
      <c r="F22" s="88"/>
      <c r="G22" s="88"/>
      <c r="H22" s="85"/>
    </row>
    <row r="23">
      <c r="A23" s="86"/>
      <c r="B23" s="90"/>
      <c r="C23" s="90"/>
      <c r="D23" s="90"/>
      <c r="E23" s="88"/>
      <c r="F23" s="88"/>
      <c r="G23" s="88"/>
      <c r="H23" s="85"/>
    </row>
    <row r="24">
      <c r="A24" s="86"/>
      <c r="B24" s="90"/>
      <c r="C24" s="90"/>
      <c r="D24" s="90"/>
      <c r="E24" s="88"/>
      <c r="F24" s="88"/>
      <c r="G24" s="88"/>
      <c r="H24" s="85"/>
    </row>
    <row r="25">
      <c r="A25" s="86"/>
      <c r="B25" s="90"/>
      <c r="C25" s="90"/>
      <c r="D25" s="90"/>
      <c r="E25" s="88"/>
      <c r="F25" s="88"/>
      <c r="G25" s="88"/>
      <c r="H25" s="85"/>
    </row>
    <row r="26">
      <c r="A26" s="86"/>
      <c r="B26" s="90"/>
      <c r="C26" s="90"/>
      <c r="D26" s="90"/>
      <c r="E26" s="88"/>
      <c r="F26" s="88"/>
      <c r="G26" s="88"/>
      <c r="H26" s="85"/>
    </row>
    <row r="27">
      <c r="A27" s="86"/>
      <c r="B27" s="90"/>
      <c r="C27" s="90"/>
      <c r="D27" s="90"/>
      <c r="E27" s="88"/>
      <c r="F27" s="88"/>
      <c r="G27" s="88"/>
      <c r="H27" s="85"/>
    </row>
    <row r="28">
      <c r="A28" s="86"/>
      <c r="B28" s="90"/>
      <c r="C28" s="90"/>
      <c r="D28" s="90"/>
      <c r="E28" s="88"/>
      <c r="F28" s="88"/>
      <c r="G28" s="88"/>
      <c r="H28" s="85"/>
    </row>
    <row r="29">
      <c r="A29" s="86"/>
      <c r="B29" s="90"/>
      <c r="C29" s="90"/>
      <c r="D29" s="90"/>
      <c r="E29" s="88"/>
      <c r="F29" s="88"/>
      <c r="G29" s="88"/>
      <c r="H29" s="85"/>
    </row>
    <row r="30">
      <c r="A30" s="86"/>
      <c r="B30" s="90"/>
      <c r="C30" s="90"/>
      <c r="D30" s="90"/>
      <c r="E30" s="88"/>
      <c r="F30" s="88"/>
      <c r="G30" s="88"/>
      <c r="H30" s="85"/>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15.43"/>
    <col customWidth="1" min="2" max="2" width="17.43"/>
    <col customWidth="1" min="3" max="3" width="26.86"/>
    <col customWidth="1" min="4" max="4" width="25.43"/>
    <col customWidth="1" min="5" max="5" width="68.14"/>
    <col customWidth="1" min="6" max="7" width="28.86"/>
  </cols>
  <sheetData>
    <row r="1">
      <c r="A1" s="1" t="s">
        <v>0</v>
      </c>
      <c r="B1" s="1" t="s">
        <v>1</v>
      </c>
      <c r="C1" s="1" t="s">
        <v>2</v>
      </c>
      <c r="D1" s="1" t="s">
        <v>3</v>
      </c>
      <c r="E1" s="1" t="s">
        <v>4</v>
      </c>
      <c r="F1" s="1" t="s">
        <v>5</v>
      </c>
      <c r="G1" s="1" t="s">
        <v>6</v>
      </c>
    </row>
    <row r="2" ht="89.25" customHeight="1">
      <c r="A2" s="12">
        <v>1.0</v>
      </c>
      <c r="B2" s="12">
        <v>1.0</v>
      </c>
      <c r="C2" s="12" t="s">
        <v>7</v>
      </c>
      <c r="D2" s="3" t="s">
        <v>8</v>
      </c>
      <c r="E2" s="3" t="s">
        <v>9</v>
      </c>
      <c r="F2" s="3" t="s">
        <v>10</v>
      </c>
      <c r="G2" s="3"/>
    </row>
    <row r="3" ht="82.5" customHeight="1">
      <c r="A3" s="12">
        <v>1.0</v>
      </c>
      <c r="B3" s="12">
        <v>1.0</v>
      </c>
      <c r="C3" s="12" t="s">
        <v>7</v>
      </c>
      <c r="D3" s="3" t="s">
        <v>8</v>
      </c>
      <c r="E3" s="3" t="s">
        <v>11</v>
      </c>
      <c r="F3" s="3" t="s">
        <v>12</v>
      </c>
      <c r="G3" s="3"/>
    </row>
    <row r="4" ht="126.75" customHeight="1">
      <c r="A4" s="12">
        <v>1.0</v>
      </c>
      <c r="B4" s="12">
        <v>2.0</v>
      </c>
      <c r="C4" s="12" t="s">
        <v>7</v>
      </c>
      <c r="D4" s="3" t="s">
        <v>8</v>
      </c>
      <c r="E4" s="3" t="s">
        <v>892</v>
      </c>
      <c r="F4" s="3" t="s">
        <v>893</v>
      </c>
      <c r="G4" s="3"/>
    </row>
    <row r="5" ht="113.25" customHeight="1">
      <c r="A5" s="12">
        <v>1.0</v>
      </c>
      <c r="B5" s="12">
        <v>4.0</v>
      </c>
      <c r="C5" s="2" t="s">
        <v>28</v>
      </c>
      <c r="D5" s="3" t="s">
        <v>19</v>
      </c>
      <c r="E5" s="3" t="s">
        <v>894</v>
      </c>
      <c r="F5" s="3" t="s">
        <v>23</v>
      </c>
      <c r="G5" s="3"/>
    </row>
    <row r="6" ht="101.25" customHeight="1">
      <c r="A6" s="12">
        <v>1.0</v>
      </c>
      <c r="B6" s="12">
        <v>5.0</v>
      </c>
      <c r="C6" s="2" t="s">
        <v>28</v>
      </c>
      <c r="D6" s="3" t="s">
        <v>19</v>
      </c>
      <c r="E6" s="3" t="s">
        <v>895</v>
      </c>
      <c r="F6" s="3" t="s">
        <v>896</v>
      </c>
      <c r="G6" s="3"/>
    </row>
    <row r="7">
      <c r="A7" s="12">
        <v>1.0</v>
      </c>
      <c r="B7" s="12">
        <v>7.0</v>
      </c>
      <c r="C7" s="2" t="s">
        <v>28</v>
      </c>
      <c r="D7" s="3" t="s">
        <v>19</v>
      </c>
      <c r="E7" s="3" t="s">
        <v>897</v>
      </c>
      <c r="F7" s="3" t="s">
        <v>898</v>
      </c>
      <c r="G7" s="3"/>
    </row>
    <row r="8">
      <c r="A8" s="12">
        <v>1.0</v>
      </c>
      <c r="B8" s="12">
        <v>8.0</v>
      </c>
      <c r="C8" s="2" t="s">
        <v>33</v>
      </c>
      <c r="D8" s="3" t="s">
        <v>8</v>
      </c>
      <c r="E8" s="3" t="s">
        <v>899</v>
      </c>
      <c r="F8" s="3" t="s">
        <v>900</v>
      </c>
      <c r="G8" s="3"/>
    </row>
    <row r="9">
      <c r="A9" s="12">
        <v>1.0</v>
      </c>
      <c r="B9" s="12">
        <v>8.0</v>
      </c>
      <c r="C9" s="2" t="s">
        <v>33</v>
      </c>
      <c r="D9" s="3" t="s">
        <v>19</v>
      </c>
      <c r="E9" s="3" t="s">
        <v>901</v>
      </c>
      <c r="F9" s="3" t="s">
        <v>902</v>
      </c>
      <c r="G9" s="3"/>
    </row>
    <row r="10">
      <c r="A10" s="12">
        <v>1.0</v>
      </c>
      <c r="B10" s="2">
        <v>10.0</v>
      </c>
      <c r="C10" s="2" t="s">
        <v>40</v>
      </c>
      <c r="D10" s="3" t="s">
        <v>19</v>
      </c>
      <c r="E10" s="3" t="s">
        <v>903</v>
      </c>
      <c r="F10" s="3" t="s">
        <v>904</v>
      </c>
      <c r="G10" s="3"/>
    </row>
    <row r="11">
      <c r="A11" s="12">
        <v>1.0</v>
      </c>
      <c r="B11" s="2">
        <v>11.0</v>
      </c>
      <c r="C11" s="2" t="s">
        <v>72</v>
      </c>
      <c r="D11" s="3" t="s">
        <v>19</v>
      </c>
      <c r="E11" s="3" t="s">
        <v>905</v>
      </c>
      <c r="F11" s="3" t="s">
        <v>906</v>
      </c>
      <c r="G11" s="3"/>
    </row>
    <row r="12">
      <c r="A12" s="12">
        <v>1.0</v>
      </c>
      <c r="B12" s="2">
        <v>13.0</v>
      </c>
      <c r="C12" s="2" t="s">
        <v>54</v>
      </c>
      <c r="D12" s="3" t="s">
        <v>8</v>
      </c>
      <c r="E12" s="3" t="s">
        <v>907</v>
      </c>
      <c r="F12" s="3" t="s">
        <v>908</v>
      </c>
      <c r="G12" s="3"/>
    </row>
    <row r="13">
      <c r="A13" s="12">
        <v>1.0</v>
      </c>
      <c r="B13" s="2">
        <v>14.0</v>
      </c>
      <c r="C13" s="2" t="s">
        <v>54</v>
      </c>
      <c r="D13" s="3" t="s">
        <v>8</v>
      </c>
      <c r="E13" s="3" t="s">
        <v>909</v>
      </c>
      <c r="F13" s="3" t="s">
        <v>908</v>
      </c>
      <c r="G13" s="3"/>
    </row>
    <row r="14">
      <c r="A14" s="12">
        <v>1.0</v>
      </c>
      <c r="B14" s="2">
        <v>16.0</v>
      </c>
      <c r="C14" s="2" t="s">
        <v>59</v>
      </c>
      <c r="D14" s="3" t="s">
        <v>8</v>
      </c>
      <c r="E14" s="3" t="s">
        <v>910</v>
      </c>
      <c r="F14" s="3" t="s">
        <v>911</v>
      </c>
      <c r="G14" s="3"/>
    </row>
    <row r="15">
      <c r="A15" s="12">
        <v>1.0</v>
      </c>
      <c r="B15" s="2">
        <v>16.0</v>
      </c>
      <c r="C15" s="2" t="s">
        <v>59</v>
      </c>
      <c r="D15" s="3" t="s">
        <v>8</v>
      </c>
      <c r="E15" s="3" t="s">
        <v>912</v>
      </c>
      <c r="F15" s="3" t="s">
        <v>913</v>
      </c>
      <c r="G15" s="3"/>
    </row>
    <row r="16">
      <c r="A16" s="12">
        <v>1.0</v>
      </c>
      <c r="B16" s="2">
        <v>16.0</v>
      </c>
      <c r="C16" s="2" t="s">
        <v>59</v>
      </c>
      <c r="D16" s="3" t="s">
        <v>19</v>
      </c>
      <c r="E16" s="3" t="s">
        <v>914</v>
      </c>
      <c r="F16" s="3" t="s">
        <v>23</v>
      </c>
      <c r="G16" s="3"/>
    </row>
    <row r="17">
      <c r="A17" s="12">
        <v>1.0</v>
      </c>
      <c r="B17" s="2">
        <v>17.0</v>
      </c>
      <c r="C17" s="2" t="s">
        <v>59</v>
      </c>
      <c r="D17" s="3" t="s">
        <v>8</v>
      </c>
      <c r="E17" s="3" t="s">
        <v>915</v>
      </c>
      <c r="F17" s="3" t="s">
        <v>916</v>
      </c>
      <c r="G17" s="3"/>
    </row>
    <row r="18">
      <c r="A18" s="2">
        <v>2.0</v>
      </c>
      <c r="B18" s="2">
        <v>1.0</v>
      </c>
      <c r="C18" s="2" t="s">
        <v>28</v>
      </c>
      <c r="D18" s="3" t="s">
        <v>19</v>
      </c>
      <c r="E18" s="3" t="s">
        <v>917</v>
      </c>
      <c r="F18" s="3" t="s">
        <v>918</v>
      </c>
      <c r="G18" s="3"/>
    </row>
    <row r="19">
      <c r="A19" s="2">
        <v>2.0</v>
      </c>
      <c r="B19" s="2">
        <v>1.0</v>
      </c>
      <c r="C19" s="2" t="s">
        <v>28</v>
      </c>
      <c r="D19" s="3" t="s">
        <v>8</v>
      </c>
      <c r="E19" s="3" t="s">
        <v>919</v>
      </c>
      <c r="F19" s="3" t="s">
        <v>920</v>
      </c>
      <c r="G19" s="3"/>
    </row>
    <row r="20">
      <c r="A20" s="2">
        <v>2.0</v>
      </c>
      <c r="B20" s="2">
        <v>1.0</v>
      </c>
      <c r="C20" s="2" t="s">
        <v>28</v>
      </c>
      <c r="D20" s="3" t="s">
        <v>19</v>
      </c>
      <c r="E20" s="3" t="s">
        <v>921</v>
      </c>
      <c r="F20" s="3" t="s">
        <v>922</v>
      </c>
      <c r="G20" s="3"/>
    </row>
    <row r="21">
      <c r="A21" s="2">
        <v>2.0</v>
      </c>
      <c r="B21" s="2">
        <v>2.0</v>
      </c>
      <c r="C21" s="2" t="s">
        <v>72</v>
      </c>
      <c r="D21" s="3"/>
      <c r="E21" s="18"/>
      <c r="F21" s="18"/>
      <c r="G21" s="18"/>
    </row>
    <row r="22">
      <c r="A22" s="2">
        <v>2.0</v>
      </c>
      <c r="B22" s="2">
        <v>4.0</v>
      </c>
      <c r="C22" s="2" t="s">
        <v>72</v>
      </c>
      <c r="D22" s="3" t="s">
        <v>19</v>
      </c>
      <c r="E22" s="3" t="s">
        <v>923</v>
      </c>
      <c r="F22" s="3" t="s">
        <v>924</v>
      </c>
      <c r="G22" s="3"/>
    </row>
    <row r="23">
      <c r="A23" s="2">
        <v>2.0</v>
      </c>
      <c r="B23" s="2">
        <v>4.0</v>
      </c>
      <c r="C23" s="2" t="s">
        <v>72</v>
      </c>
      <c r="D23" s="3" t="s">
        <v>8</v>
      </c>
      <c r="E23" s="3" t="s">
        <v>925</v>
      </c>
      <c r="F23" s="3" t="s">
        <v>926</v>
      </c>
      <c r="G23" s="3"/>
    </row>
    <row r="24">
      <c r="A24" s="2">
        <v>2.0</v>
      </c>
      <c r="B24" s="2">
        <v>4.0</v>
      </c>
      <c r="C24" s="2" t="s">
        <v>72</v>
      </c>
      <c r="D24" s="3" t="s">
        <v>19</v>
      </c>
      <c r="E24" s="3" t="s">
        <v>927</v>
      </c>
      <c r="F24" s="3" t="s">
        <v>928</v>
      </c>
      <c r="G24" s="3"/>
    </row>
    <row r="25">
      <c r="A25" s="2">
        <v>2.0</v>
      </c>
      <c r="B25" s="2">
        <v>5.0</v>
      </c>
      <c r="C25" s="2" t="s">
        <v>54</v>
      </c>
      <c r="D25" s="3" t="s">
        <v>19</v>
      </c>
      <c r="E25" s="3" t="s">
        <v>929</v>
      </c>
      <c r="F25" s="3" t="s">
        <v>930</v>
      </c>
      <c r="G25" s="3"/>
    </row>
    <row r="26">
      <c r="A26" s="2">
        <v>2.0</v>
      </c>
      <c r="B26" s="2">
        <v>7.0</v>
      </c>
      <c r="C26" s="2" t="s">
        <v>40</v>
      </c>
      <c r="D26" s="3" t="s">
        <v>8</v>
      </c>
      <c r="E26" s="3" t="s">
        <v>931</v>
      </c>
      <c r="F26" s="3" t="s">
        <v>932</v>
      </c>
      <c r="G26" s="3"/>
    </row>
    <row r="27">
      <c r="A27" s="2">
        <v>2.0</v>
      </c>
      <c r="B27" s="2">
        <v>7.0</v>
      </c>
      <c r="C27" s="2" t="s">
        <v>40</v>
      </c>
      <c r="D27" s="3" t="s">
        <v>19</v>
      </c>
      <c r="E27" s="3" t="s">
        <v>933</v>
      </c>
      <c r="F27" s="3" t="s">
        <v>934</v>
      </c>
      <c r="G27" s="3"/>
    </row>
    <row r="28">
      <c r="A28" s="2">
        <v>2.0</v>
      </c>
      <c r="B28" s="2">
        <v>8.0</v>
      </c>
      <c r="C28" s="2" t="s">
        <v>59</v>
      </c>
      <c r="D28" s="3" t="s">
        <v>8</v>
      </c>
      <c r="E28" s="3" t="s">
        <v>935</v>
      </c>
      <c r="F28" s="3" t="s">
        <v>936</v>
      </c>
      <c r="G28" s="3"/>
    </row>
    <row r="29">
      <c r="A29" s="2">
        <v>2.0</v>
      </c>
      <c r="B29" s="2">
        <v>10.0</v>
      </c>
      <c r="C29" s="2" t="s">
        <v>28</v>
      </c>
      <c r="D29" s="3" t="s">
        <v>8</v>
      </c>
      <c r="E29" s="3" t="s">
        <v>937</v>
      </c>
      <c r="F29" s="3" t="s">
        <v>938</v>
      </c>
      <c r="G29" s="3"/>
    </row>
    <row r="30">
      <c r="A30" s="2">
        <v>2.0</v>
      </c>
      <c r="B30" s="2">
        <v>11.0</v>
      </c>
      <c r="C30" s="2" t="s">
        <v>54</v>
      </c>
      <c r="D30" s="3" t="s">
        <v>19</v>
      </c>
      <c r="E30" s="3" t="s">
        <v>939</v>
      </c>
      <c r="F30" s="3" t="s">
        <v>940</v>
      </c>
      <c r="G30" s="3"/>
    </row>
    <row r="31">
      <c r="A31" s="2">
        <v>2.0</v>
      </c>
      <c r="B31" s="2">
        <v>13.0</v>
      </c>
      <c r="C31" s="2" t="s">
        <v>40</v>
      </c>
      <c r="D31" s="3" t="s">
        <v>8</v>
      </c>
      <c r="E31" s="3" t="s">
        <v>941</v>
      </c>
      <c r="F31" s="3" t="s">
        <v>942</v>
      </c>
      <c r="G31" s="3"/>
    </row>
    <row r="32">
      <c r="A32" s="2">
        <v>2.0</v>
      </c>
      <c r="B32" s="2">
        <v>14.0</v>
      </c>
      <c r="C32" s="2" t="s">
        <v>47</v>
      </c>
      <c r="D32" s="3" t="s">
        <v>8</v>
      </c>
      <c r="E32" s="3" t="s">
        <v>943</v>
      </c>
      <c r="F32" s="3" t="s">
        <v>944</v>
      </c>
      <c r="G32" s="3"/>
    </row>
    <row r="33">
      <c r="A33" s="2">
        <v>2.0</v>
      </c>
      <c r="B33" s="2">
        <v>14.0</v>
      </c>
      <c r="C33" s="2" t="s">
        <v>47</v>
      </c>
      <c r="D33" s="3" t="s">
        <v>8</v>
      </c>
      <c r="E33" s="3" t="s">
        <v>945</v>
      </c>
      <c r="F33" s="3" t="s">
        <v>946</v>
      </c>
      <c r="G33" s="3"/>
    </row>
    <row r="34">
      <c r="A34" s="2">
        <v>2.0</v>
      </c>
      <c r="B34" s="2">
        <v>16.0</v>
      </c>
      <c r="C34" s="2" t="s">
        <v>947</v>
      </c>
      <c r="D34" s="3" t="s">
        <v>8</v>
      </c>
      <c r="E34" s="3" t="s">
        <v>948</v>
      </c>
      <c r="F34" s="3" t="s">
        <v>949</v>
      </c>
      <c r="G34" s="3"/>
    </row>
    <row r="35">
      <c r="A35" s="2">
        <v>2.0</v>
      </c>
      <c r="B35" s="2">
        <v>16.0</v>
      </c>
      <c r="C35" s="2" t="s">
        <v>72</v>
      </c>
      <c r="D35" s="3" t="s">
        <v>19</v>
      </c>
      <c r="E35" s="3" t="s">
        <v>950</v>
      </c>
      <c r="F35" s="3" t="s">
        <v>951</v>
      </c>
      <c r="G35" s="3"/>
    </row>
    <row r="36">
      <c r="A36" s="2">
        <v>3.0</v>
      </c>
      <c r="B36" s="2">
        <v>1.0</v>
      </c>
      <c r="C36" s="2" t="s">
        <v>7</v>
      </c>
      <c r="D36" s="3" t="s">
        <v>8</v>
      </c>
      <c r="E36" s="3" t="s">
        <v>952</v>
      </c>
      <c r="F36" s="3" t="s">
        <v>953</v>
      </c>
      <c r="G36" s="3"/>
    </row>
    <row r="37">
      <c r="A37" s="2"/>
      <c r="B37" s="2"/>
      <c r="C37" s="2"/>
      <c r="D37" s="3" t="s">
        <v>19</v>
      </c>
      <c r="E37" s="3" t="s">
        <v>954</v>
      </c>
      <c r="F37" s="3" t="s">
        <v>955</v>
      </c>
      <c r="G37" s="3"/>
    </row>
    <row r="38">
      <c r="A38" s="2">
        <v>3.0</v>
      </c>
      <c r="B38" s="2">
        <v>2.0</v>
      </c>
      <c r="C38" s="2" t="s">
        <v>59</v>
      </c>
      <c r="D38" s="3" t="s">
        <v>8</v>
      </c>
      <c r="E38" s="3" t="s">
        <v>956</v>
      </c>
      <c r="F38" s="3" t="s">
        <v>957</v>
      </c>
      <c r="G38" s="3"/>
    </row>
    <row r="39">
      <c r="A39" s="2"/>
      <c r="B39" s="2"/>
      <c r="C39" s="2"/>
      <c r="D39" s="3" t="s">
        <v>19</v>
      </c>
      <c r="E39" s="3" t="s">
        <v>958</v>
      </c>
      <c r="F39" s="3" t="s">
        <v>959</v>
      </c>
      <c r="G39" s="3"/>
    </row>
    <row r="40">
      <c r="A40" s="2"/>
      <c r="B40" s="2"/>
      <c r="C40" s="2"/>
      <c r="D40" s="3" t="s">
        <v>19</v>
      </c>
      <c r="E40" s="3" t="s">
        <v>960</v>
      </c>
      <c r="F40" s="3" t="s">
        <v>961</v>
      </c>
      <c r="G40" s="3"/>
    </row>
    <row r="41">
      <c r="A41" s="2">
        <v>3.0</v>
      </c>
      <c r="B41" s="2">
        <v>6.0</v>
      </c>
      <c r="C41" s="2" t="s">
        <v>40</v>
      </c>
      <c r="D41" s="3" t="s">
        <v>19</v>
      </c>
      <c r="E41" s="3" t="s">
        <v>962</v>
      </c>
      <c r="F41" s="3" t="s">
        <v>963</v>
      </c>
      <c r="G41" s="3"/>
    </row>
    <row r="42">
      <c r="A42" s="2">
        <v>3.0</v>
      </c>
      <c r="B42" s="2">
        <v>7.0</v>
      </c>
      <c r="C42" s="2" t="s">
        <v>33</v>
      </c>
      <c r="D42" s="3" t="s">
        <v>8</v>
      </c>
      <c r="E42" s="3" t="s">
        <v>964</v>
      </c>
      <c r="F42" s="3" t="s">
        <v>965</v>
      </c>
      <c r="G42" s="3"/>
    </row>
    <row r="43">
      <c r="A43" s="2"/>
      <c r="B43" s="2"/>
      <c r="C43" s="2"/>
      <c r="D43" s="3" t="s">
        <v>19</v>
      </c>
      <c r="E43" s="3" t="s">
        <v>966</v>
      </c>
      <c r="F43" s="3" t="s">
        <v>967</v>
      </c>
      <c r="G43" s="3"/>
    </row>
    <row r="44">
      <c r="A44" s="2">
        <v>3.0</v>
      </c>
      <c r="B44" s="19">
        <v>11.0</v>
      </c>
      <c r="C44" s="12" t="s">
        <v>176</v>
      </c>
      <c r="D44" s="3" t="s">
        <v>19</v>
      </c>
      <c r="E44" s="3" t="s">
        <v>968</v>
      </c>
      <c r="F44" s="3" t="s">
        <v>969</v>
      </c>
      <c r="G44" s="3"/>
    </row>
    <row r="45">
      <c r="A45" s="2">
        <v>4.0</v>
      </c>
      <c r="B45" s="2">
        <v>1.0</v>
      </c>
      <c r="C45" s="2" t="s">
        <v>7</v>
      </c>
      <c r="D45" s="3" t="s">
        <v>8</v>
      </c>
      <c r="E45" s="3" t="s">
        <v>970</v>
      </c>
      <c r="F45" s="3" t="s">
        <v>971</v>
      </c>
      <c r="G45" s="3"/>
    </row>
    <row r="46" ht="300.75" customHeight="1">
      <c r="A46" s="2"/>
      <c r="B46" s="2"/>
      <c r="C46" s="2"/>
      <c r="D46" s="3" t="s">
        <v>8</v>
      </c>
      <c r="E46" s="3" t="s">
        <v>972</v>
      </c>
      <c r="F46" s="3" t="s">
        <v>973</v>
      </c>
      <c r="G46" s="3"/>
    </row>
    <row r="47">
      <c r="A47" s="2">
        <v>4.0</v>
      </c>
      <c r="B47" s="2">
        <v>2.0</v>
      </c>
      <c r="C47" s="2" t="s">
        <v>7</v>
      </c>
      <c r="D47" s="3" t="s">
        <v>8</v>
      </c>
      <c r="E47" s="3" t="s">
        <v>974</v>
      </c>
      <c r="F47" s="3" t="s">
        <v>975</v>
      </c>
      <c r="G47" s="3"/>
    </row>
    <row r="48">
      <c r="A48" s="2"/>
      <c r="B48" s="2"/>
      <c r="C48" s="2"/>
      <c r="D48" s="3" t="s">
        <v>8</v>
      </c>
      <c r="E48" s="3" t="s">
        <v>976</v>
      </c>
      <c r="F48" s="3" t="s">
        <v>977</v>
      </c>
      <c r="G48" s="3"/>
    </row>
    <row r="49">
      <c r="A49" s="2"/>
      <c r="B49" s="2"/>
      <c r="C49" s="2"/>
      <c r="D49" s="3" t="s">
        <v>19</v>
      </c>
      <c r="E49" s="3" t="s">
        <v>978</v>
      </c>
      <c r="F49" s="3" t="s">
        <v>979</v>
      </c>
      <c r="G49" s="3"/>
    </row>
    <row r="50" ht="210.75" customHeight="1">
      <c r="A50" s="2">
        <v>4.0</v>
      </c>
      <c r="B50" s="2">
        <v>6.0</v>
      </c>
      <c r="C50" s="2" t="s">
        <v>47</v>
      </c>
      <c r="D50" s="3" t="s">
        <v>19</v>
      </c>
      <c r="E50" s="3" t="s">
        <v>980</v>
      </c>
      <c r="F50" s="3" t="s">
        <v>981</v>
      </c>
      <c r="G50" s="3"/>
    </row>
    <row r="51" ht="210.75" customHeight="1">
      <c r="A51" s="2"/>
      <c r="B51" s="2"/>
      <c r="C51" s="2"/>
      <c r="D51" s="3" t="s">
        <v>19</v>
      </c>
      <c r="E51" s="3" t="s">
        <v>982</v>
      </c>
      <c r="F51" s="3" t="s">
        <v>983</v>
      </c>
      <c r="G51" s="3"/>
    </row>
    <row r="52" ht="210.75" customHeight="1">
      <c r="A52" s="2"/>
      <c r="B52" s="2"/>
      <c r="C52" s="2"/>
      <c r="D52" s="3" t="s">
        <v>19</v>
      </c>
      <c r="E52" s="3" t="s">
        <v>984</v>
      </c>
      <c r="F52" s="3" t="s">
        <v>985</v>
      </c>
      <c r="G52" s="3"/>
    </row>
    <row r="53" ht="210.75" customHeight="1">
      <c r="A53" s="2"/>
      <c r="B53" s="2"/>
      <c r="C53" s="2"/>
      <c r="D53" s="3" t="s">
        <v>19</v>
      </c>
      <c r="E53" s="3" t="s">
        <v>986</v>
      </c>
      <c r="F53" s="3" t="s">
        <v>987</v>
      </c>
      <c r="G53" s="3"/>
    </row>
    <row r="54">
      <c r="A54" s="2">
        <v>4.0</v>
      </c>
      <c r="B54" s="2">
        <v>7.0</v>
      </c>
      <c r="C54" s="2" t="s">
        <v>40</v>
      </c>
      <c r="D54" s="3" t="s">
        <v>19</v>
      </c>
      <c r="E54" s="3" t="s">
        <v>988</v>
      </c>
      <c r="F54" s="3" t="s">
        <v>989</v>
      </c>
      <c r="G54" s="3"/>
    </row>
    <row r="55">
      <c r="A55" s="2"/>
      <c r="B55" s="2"/>
      <c r="C55" s="2"/>
      <c r="D55" s="3" t="s">
        <v>19</v>
      </c>
      <c r="E55" s="3" t="s">
        <v>990</v>
      </c>
      <c r="F55" s="3" t="s">
        <v>991</v>
      </c>
      <c r="G55" s="3"/>
    </row>
    <row r="56">
      <c r="A56" s="2"/>
      <c r="B56" s="2"/>
      <c r="C56" s="2"/>
      <c r="D56" s="3" t="s">
        <v>19</v>
      </c>
      <c r="E56" s="3" t="s">
        <v>992</v>
      </c>
      <c r="F56" s="3" t="s">
        <v>993</v>
      </c>
      <c r="G56" s="3"/>
    </row>
    <row r="57">
      <c r="A57" s="2">
        <v>4.0</v>
      </c>
      <c r="B57" s="2">
        <v>11.0</v>
      </c>
      <c r="C57" s="2" t="s">
        <v>72</v>
      </c>
      <c r="D57" s="3" t="s">
        <v>19</v>
      </c>
      <c r="E57" s="3" t="s">
        <v>994</v>
      </c>
      <c r="F57" s="3" t="s">
        <v>995</v>
      </c>
      <c r="G57" s="3"/>
    </row>
    <row r="58">
      <c r="A58" s="2"/>
      <c r="B58" s="2"/>
      <c r="C58" s="2"/>
      <c r="D58" s="3" t="s">
        <v>19</v>
      </c>
      <c r="E58" s="3" t="s">
        <v>996</v>
      </c>
      <c r="F58" s="3" t="s">
        <v>997</v>
      </c>
      <c r="G58" s="3"/>
    </row>
    <row r="59">
      <c r="A59" s="2"/>
      <c r="B59" s="2"/>
      <c r="C59" s="2"/>
      <c r="D59" s="3" t="s">
        <v>19</v>
      </c>
      <c r="E59" s="3" t="s">
        <v>998</v>
      </c>
      <c r="F59" s="3" t="s">
        <v>999</v>
      </c>
      <c r="G59" s="3"/>
    </row>
    <row r="60">
      <c r="A60" s="2">
        <v>4.0</v>
      </c>
      <c r="B60" s="2">
        <v>12.0</v>
      </c>
      <c r="C60" s="12" t="s">
        <v>176</v>
      </c>
      <c r="D60" s="3" t="s">
        <v>8</v>
      </c>
      <c r="E60" s="3" t="s">
        <v>1000</v>
      </c>
      <c r="F60" s="3" t="s">
        <v>1001</v>
      </c>
      <c r="G60" s="3"/>
    </row>
    <row r="61">
      <c r="A61" s="2"/>
      <c r="B61" s="2"/>
      <c r="C61" s="20"/>
      <c r="D61" s="3" t="s">
        <v>8</v>
      </c>
      <c r="E61" s="3" t="s">
        <v>1002</v>
      </c>
      <c r="F61" s="3" t="s">
        <v>1003</v>
      </c>
      <c r="G61" s="3"/>
    </row>
    <row r="62" ht="231.75" customHeight="1">
      <c r="A62" s="2">
        <v>5.0</v>
      </c>
      <c r="B62" s="2">
        <v>1.0</v>
      </c>
      <c r="C62" s="2" t="s">
        <v>7</v>
      </c>
      <c r="D62" s="3" t="s">
        <v>8</v>
      </c>
      <c r="E62" s="3" t="s">
        <v>1004</v>
      </c>
      <c r="F62" s="3" t="s">
        <v>1005</v>
      </c>
      <c r="G62" s="3"/>
    </row>
    <row r="63" ht="168.75" customHeight="1">
      <c r="A63" s="2">
        <v>5.0</v>
      </c>
      <c r="B63" s="2">
        <v>2.0</v>
      </c>
      <c r="C63" s="2" t="s">
        <v>7</v>
      </c>
      <c r="D63" s="3" t="s">
        <v>19</v>
      </c>
      <c r="E63" s="3" t="s">
        <v>1006</v>
      </c>
      <c r="F63" s="3" t="s">
        <v>1007</v>
      </c>
      <c r="G63" s="3"/>
    </row>
    <row r="64" ht="168.75" customHeight="1">
      <c r="A64" s="2"/>
      <c r="B64" s="2"/>
      <c r="C64" s="2"/>
      <c r="D64" s="3" t="s">
        <v>19</v>
      </c>
      <c r="E64" s="3" t="s">
        <v>1008</v>
      </c>
      <c r="F64" s="3" t="s">
        <v>1009</v>
      </c>
      <c r="G64" s="3"/>
    </row>
    <row r="65">
      <c r="A65" s="2">
        <v>5.0</v>
      </c>
      <c r="B65" s="2">
        <v>6.0</v>
      </c>
      <c r="C65" s="2" t="s">
        <v>59</v>
      </c>
      <c r="D65" s="3" t="s">
        <v>8</v>
      </c>
      <c r="E65" s="3" t="s">
        <v>1010</v>
      </c>
      <c r="F65" s="3" t="s">
        <v>1011</v>
      </c>
      <c r="G65" s="3"/>
    </row>
    <row r="66">
      <c r="A66" s="2"/>
      <c r="B66" s="2"/>
      <c r="C66" s="2"/>
      <c r="D66" s="3" t="s">
        <v>19</v>
      </c>
      <c r="E66" s="3" t="s">
        <v>1012</v>
      </c>
      <c r="F66" s="3" t="s">
        <v>1013</v>
      </c>
      <c r="G66" s="3"/>
    </row>
    <row r="67">
      <c r="A67" s="2"/>
      <c r="B67" s="2"/>
      <c r="C67" s="2"/>
      <c r="D67" s="3" t="s">
        <v>19</v>
      </c>
      <c r="E67" s="3" t="s">
        <v>1014</v>
      </c>
      <c r="F67" s="3" t="s">
        <v>987</v>
      </c>
      <c r="G67" s="3"/>
    </row>
    <row r="68" ht="201.75" customHeight="1">
      <c r="A68" s="2">
        <v>5.0</v>
      </c>
      <c r="B68" s="2">
        <v>7.0</v>
      </c>
      <c r="C68" s="2" t="s">
        <v>59</v>
      </c>
      <c r="D68" s="3" t="s">
        <v>19</v>
      </c>
      <c r="E68" s="3" t="s">
        <v>1015</v>
      </c>
      <c r="F68" s="3" t="s">
        <v>1016</v>
      </c>
      <c r="G68" s="3"/>
    </row>
    <row r="69" ht="82.5" customHeight="1">
      <c r="A69" s="2"/>
      <c r="B69" s="2"/>
      <c r="C69" s="2"/>
      <c r="D69" s="3" t="s">
        <v>8</v>
      </c>
      <c r="E69" s="3" t="s">
        <v>1017</v>
      </c>
      <c r="F69" s="3" t="s">
        <v>1018</v>
      </c>
      <c r="G69" s="3"/>
    </row>
    <row r="70">
      <c r="A70" s="2">
        <v>5.0</v>
      </c>
      <c r="B70" s="2">
        <v>11.0</v>
      </c>
      <c r="C70" s="2" t="s">
        <v>40</v>
      </c>
      <c r="D70" s="3" t="s">
        <v>8</v>
      </c>
      <c r="E70" s="3" t="s">
        <v>1019</v>
      </c>
      <c r="F70" s="3" t="s">
        <v>1020</v>
      </c>
      <c r="G70" s="3"/>
    </row>
    <row r="71">
      <c r="A71" s="2"/>
      <c r="B71" s="2"/>
      <c r="C71" s="2"/>
      <c r="D71" s="3" t="s">
        <v>19</v>
      </c>
      <c r="E71" s="3" t="s">
        <v>1021</v>
      </c>
      <c r="F71" s="3" t="s">
        <v>1022</v>
      </c>
      <c r="G71" s="3"/>
    </row>
    <row r="72" ht="114.0" customHeight="1">
      <c r="A72" s="2"/>
      <c r="B72" s="2"/>
      <c r="C72" s="2"/>
      <c r="D72" s="3" t="s">
        <v>19</v>
      </c>
      <c r="E72" s="3" t="s">
        <v>1023</v>
      </c>
      <c r="F72" s="3" t="s">
        <v>1024</v>
      </c>
      <c r="G72" s="3"/>
    </row>
    <row r="73">
      <c r="A73" s="2">
        <v>5.0</v>
      </c>
      <c r="B73" s="2">
        <v>12.0</v>
      </c>
      <c r="C73" s="2" t="s">
        <v>33</v>
      </c>
      <c r="D73" s="3" t="s">
        <v>19</v>
      </c>
      <c r="E73" s="3" t="s">
        <v>1025</v>
      </c>
      <c r="F73" s="3" t="s">
        <v>1026</v>
      </c>
      <c r="G73" s="3"/>
    </row>
    <row r="74">
      <c r="A74" s="2"/>
      <c r="B74" s="2"/>
      <c r="C74" s="2"/>
      <c r="D74" s="3" t="s">
        <v>19</v>
      </c>
      <c r="E74" s="3" t="s">
        <v>1027</v>
      </c>
      <c r="F74" s="3" t="s">
        <v>1028</v>
      </c>
      <c r="G74" s="3"/>
    </row>
    <row r="75">
      <c r="A75" s="2">
        <v>6.0</v>
      </c>
      <c r="B75" s="19">
        <v>1.0</v>
      </c>
      <c r="C75" s="2" t="s">
        <v>7</v>
      </c>
      <c r="D75" s="3" t="s">
        <v>8</v>
      </c>
      <c r="E75" s="3" t="s">
        <v>1029</v>
      </c>
      <c r="F75" s="3" t="s">
        <v>1030</v>
      </c>
      <c r="G75" s="3"/>
    </row>
    <row r="76">
      <c r="A76" s="2"/>
      <c r="B76" s="19"/>
      <c r="C76" s="2"/>
      <c r="D76" s="3" t="s">
        <v>8</v>
      </c>
      <c r="E76" s="3" t="s">
        <v>1031</v>
      </c>
      <c r="F76" s="3" t="s">
        <v>1032</v>
      </c>
      <c r="G76" s="3"/>
    </row>
    <row r="77">
      <c r="A77" s="2">
        <v>6.0</v>
      </c>
      <c r="B77" s="19">
        <v>2.0</v>
      </c>
      <c r="C77" s="2" t="s">
        <v>28</v>
      </c>
      <c r="D77" s="3" t="s">
        <v>8</v>
      </c>
      <c r="E77" s="3" t="s">
        <v>1033</v>
      </c>
      <c r="F77" s="3" t="s">
        <v>1034</v>
      </c>
      <c r="G77" s="3"/>
    </row>
    <row r="78">
      <c r="A78" s="2"/>
      <c r="B78" s="19"/>
      <c r="C78" s="2"/>
      <c r="D78" s="3" t="s">
        <v>8</v>
      </c>
      <c r="E78" s="3" t="s">
        <v>1035</v>
      </c>
      <c r="F78" s="3" t="s">
        <v>1036</v>
      </c>
      <c r="G78" s="3"/>
    </row>
    <row r="79">
      <c r="A79" s="2">
        <v>6.0</v>
      </c>
      <c r="B79" s="19">
        <v>6.0</v>
      </c>
      <c r="C79" s="12" t="s">
        <v>33</v>
      </c>
      <c r="D79" s="3" t="s">
        <v>19</v>
      </c>
      <c r="E79" s="3" t="s">
        <v>1037</v>
      </c>
      <c r="F79" s="3" t="s">
        <v>1038</v>
      </c>
      <c r="G79" s="3"/>
    </row>
    <row r="80">
      <c r="A80" s="2">
        <v>6.0</v>
      </c>
      <c r="B80" s="19">
        <v>7.0</v>
      </c>
      <c r="C80" s="12" t="s">
        <v>54</v>
      </c>
      <c r="D80" s="3" t="s">
        <v>19</v>
      </c>
      <c r="E80" s="3" t="s">
        <v>1039</v>
      </c>
      <c r="F80" s="3" t="s">
        <v>1040</v>
      </c>
      <c r="G80" s="3"/>
    </row>
    <row r="81">
      <c r="A81" s="2">
        <v>7.0</v>
      </c>
      <c r="B81" s="19">
        <v>1.0</v>
      </c>
      <c r="C81" s="2" t="s">
        <v>7</v>
      </c>
      <c r="D81" s="3" t="s">
        <v>8</v>
      </c>
      <c r="E81" s="3" t="s">
        <v>1041</v>
      </c>
      <c r="F81" s="3" t="s">
        <v>1042</v>
      </c>
      <c r="G81" s="3"/>
    </row>
    <row r="82">
      <c r="A82" s="2"/>
      <c r="B82" s="19"/>
      <c r="C82" s="2"/>
      <c r="D82" s="3" t="s">
        <v>19</v>
      </c>
      <c r="E82" s="3" t="s">
        <v>1043</v>
      </c>
      <c r="F82" s="3" t="s">
        <v>1044</v>
      </c>
      <c r="G82" s="3"/>
    </row>
    <row r="83">
      <c r="A83" s="2"/>
      <c r="B83" s="19"/>
      <c r="C83" s="2"/>
      <c r="D83" s="3" t="s">
        <v>19</v>
      </c>
      <c r="E83" s="3" t="s">
        <v>1045</v>
      </c>
      <c r="F83" s="3" t="s">
        <v>1046</v>
      </c>
      <c r="G83" s="3"/>
    </row>
    <row r="84">
      <c r="A84" s="2"/>
      <c r="B84" s="19"/>
      <c r="C84" s="2"/>
      <c r="D84" s="3" t="s">
        <v>8</v>
      </c>
      <c r="E84" s="3" t="s">
        <v>1047</v>
      </c>
      <c r="F84" s="3" t="s">
        <v>1048</v>
      </c>
      <c r="G84" s="3"/>
    </row>
    <row r="85">
      <c r="A85" s="2">
        <v>7.0</v>
      </c>
      <c r="B85" s="19">
        <v>2.0</v>
      </c>
      <c r="C85" s="12" t="s">
        <v>59</v>
      </c>
      <c r="D85" s="3" t="s">
        <v>8</v>
      </c>
      <c r="E85" s="3" t="s">
        <v>1049</v>
      </c>
      <c r="F85" s="3" t="s">
        <v>1050</v>
      </c>
      <c r="G85" s="3"/>
    </row>
    <row r="86">
      <c r="A86" s="2">
        <v>7.0</v>
      </c>
      <c r="B86" s="19">
        <v>6.0</v>
      </c>
      <c r="C86" s="12" t="s">
        <v>33</v>
      </c>
      <c r="D86" s="3" t="s">
        <v>19</v>
      </c>
      <c r="E86" s="3" t="s">
        <v>1051</v>
      </c>
      <c r="F86" s="3" t="s">
        <v>1052</v>
      </c>
      <c r="G86" s="3"/>
    </row>
    <row r="87">
      <c r="A87" s="2"/>
      <c r="B87" s="19"/>
      <c r="C87" s="21"/>
      <c r="D87" s="3" t="s">
        <v>19</v>
      </c>
      <c r="E87" s="3" t="s">
        <v>1053</v>
      </c>
      <c r="F87" s="3" t="s">
        <v>1054</v>
      </c>
      <c r="G87" s="3"/>
    </row>
    <row r="88">
      <c r="A88" s="2"/>
      <c r="B88" s="19"/>
      <c r="C88" s="21"/>
      <c r="D88" s="3" t="s">
        <v>8</v>
      </c>
      <c r="E88" s="3" t="s">
        <v>1055</v>
      </c>
      <c r="F88" s="3" t="s">
        <v>1056</v>
      </c>
      <c r="G88" s="3"/>
    </row>
    <row r="89">
      <c r="A89" s="2"/>
      <c r="B89" s="19"/>
      <c r="C89" s="21"/>
      <c r="D89" s="3" t="s">
        <v>19</v>
      </c>
      <c r="E89" s="3" t="s">
        <v>1057</v>
      </c>
      <c r="F89" s="3" t="s">
        <v>1058</v>
      </c>
      <c r="G89" s="3"/>
    </row>
    <row r="90">
      <c r="A90" s="2"/>
      <c r="B90" s="19"/>
      <c r="C90" s="21"/>
      <c r="D90" s="3" t="s">
        <v>19</v>
      </c>
      <c r="E90" s="3" t="s">
        <v>1059</v>
      </c>
      <c r="F90" s="3" t="s">
        <v>1060</v>
      </c>
      <c r="G90" s="3"/>
    </row>
    <row r="91">
      <c r="A91" s="2">
        <v>7.0</v>
      </c>
      <c r="B91" s="22">
        <v>7.0</v>
      </c>
      <c r="C91" s="12" t="s">
        <v>54</v>
      </c>
      <c r="D91" s="3" t="s">
        <v>8</v>
      </c>
      <c r="E91" s="3" t="s">
        <v>1061</v>
      </c>
      <c r="F91" s="3" t="s">
        <v>1062</v>
      </c>
      <c r="G91" s="3"/>
    </row>
    <row r="92">
      <c r="A92" s="2">
        <v>8.0</v>
      </c>
      <c r="B92" s="2">
        <v>1.0</v>
      </c>
      <c r="C92" s="12" t="s">
        <v>451</v>
      </c>
      <c r="D92" s="3" t="s">
        <v>8</v>
      </c>
      <c r="E92" s="3" t="s">
        <v>1063</v>
      </c>
      <c r="F92" s="3" t="s">
        <v>1063</v>
      </c>
      <c r="G92" s="3"/>
    </row>
    <row r="93">
      <c r="A93" s="2"/>
      <c r="B93" s="2"/>
      <c r="C93" s="12"/>
      <c r="D93" s="3" t="s">
        <v>19</v>
      </c>
      <c r="E93" s="3" t="s">
        <v>1064</v>
      </c>
      <c r="F93" s="3" t="s">
        <v>1065</v>
      </c>
      <c r="G93" s="3"/>
    </row>
    <row r="94">
      <c r="A94" s="2"/>
      <c r="B94" s="2"/>
      <c r="C94" s="12"/>
      <c r="D94" s="3" t="s">
        <v>19</v>
      </c>
      <c r="E94" s="3" t="s">
        <v>1066</v>
      </c>
      <c r="F94" s="3" t="s">
        <v>1067</v>
      </c>
      <c r="G94" s="3"/>
    </row>
    <row r="95">
      <c r="A95" s="2"/>
      <c r="B95" s="2"/>
      <c r="C95" s="12"/>
      <c r="D95" s="3" t="s">
        <v>19</v>
      </c>
      <c r="E95" s="3" t="s">
        <v>1068</v>
      </c>
      <c r="F95" s="3" t="s">
        <v>1069</v>
      </c>
      <c r="G95" s="3"/>
    </row>
    <row r="96">
      <c r="A96" s="2">
        <v>8.0</v>
      </c>
      <c r="B96" s="2">
        <v>2.0</v>
      </c>
      <c r="C96" s="12" t="s">
        <v>451</v>
      </c>
      <c r="D96" s="3" t="s">
        <v>19</v>
      </c>
      <c r="E96" s="3" t="s">
        <v>1070</v>
      </c>
      <c r="F96" s="3" t="s">
        <v>1071</v>
      </c>
      <c r="G96" s="3"/>
    </row>
    <row r="97">
      <c r="A97" s="2"/>
      <c r="B97" s="2"/>
      <c r="C97" s="12"/>
      <c r="D97" s="3" t="s">
        <v>19</v>
      </c>
      <c r="E97" s="3" t="s">
        <v>1072</v>
      </c>
      <c r="F97" s="3" t="s">
        <v>1073</v>
      </c>
      <c r="G97" s="3"/>
    </row>
    <row r="98">
      <c r="A98" s="2"/>
      <c r="B98" s="2"/>
      <c r="C98" s="12"/>
      <c r="D98" s="3" t="s">
        <v>19</v>
      </c>
      <c r="E98" s="3" t="s">
        <v>1074</v>
      </c>
      <c r="F98" s="3" t="s">
        <v>1075</v>
      </c>
      <c r="G98" s="3"/>
    </row>
    <row r="99">
      <c r="A99" s="2"/>
      <c r="B99" s="2"/>
      <c r="C99" s="12"/>
      <c r="D99" s="2" t="s">
        <v>19</v>
      </c>
      <c r="E99" s="2" t="s">
        <v>1076</v>
      </c>
      <c r="F99" s="2" t="s">
        <v>1077</v>
      </c>
      <c r="G99" s="2"/>
    </row>
    <row r="100">
      <c r="A100" s="2">
        <v>8.0</v>
      </c>
      <c r="B100" s="2">
        <v>6.0</v>
      </c>
      <c r="C100" s="12" t="s">
        <v>451</v>
      </c>
      <c r="D100" s="2" t="s">
        <v>19</v>
      </c>
      <c r="E100" s="23" t="s">
        <v>1078</v>
      </c>
      <c r="F100" s="23" t="s">
        <v>1079</v>
      </c>
      <c r="G100" s="2"/>
    </row>
    <row r="101">
      <c r="A101" s="2">
        <v>8.0</v>
      </c>
      <c r="B101" s="2">
        <v>7.0</v>
      </c>
      <c r="C101" s="2" t="s">
        <v>7</v>
      </c>
      <c r="D101" s="2" t="s">
        <v>8</v>
      </c>
      <c r="E101" s="2" t="s">
        <v>1080</v>
      </c>
      <c r="F101" s="2" t="s">
        <v>1081</v>
      </c>
      <c r="G101" s="2"/>
    </row>
    <row r="102">
      <c r="A102" s="2"/>
      <c r="B102" s="2"/>
      <c r="C102" s="2"/>
      <c r="D102" s="2" t="s">
        <v>8</v>
      </c>
      <c r="E102" s="2" t="s">
        <v>1082</v>
      </c>
      <c r="F102" s="2" t="s">
        <v>1083</v>
      </c>
      <c r="G102" s="2"/>
    </row>
    <row r="103">
      <c r="A103" s="2"/>
      <c r="B103" s="2"/>
      <c r="C103" s="2"/>
      <c r="D103" s="2" t="s">
        <v>19</v>
      </c>
      <c r="E103" s="2" t="s">
        <v>1084</v>
      </c>
      <c r="F103" s="2" t="s">
        <v>1085</v>
      </c>
      <c r="G103" s="2"/>
    </row>
    <row r="104">
      <c r="A104" s="2"/>
      <c r="B104" s="2"/>
      <c r="C104" s="2"/>
      <c r="D104" s="2" t="s">
        <v>19</v>
      </c>
      <c r="E104" s="2" t="s">
        <v>1086</v>
      </c>
      <c r="F104" s="2" t="s">
        <v>1087</v>
      </c>
      <c r="G104" s="2"/>
    </row>
    <row r="105">
      <c r="A105" s="2">
        <v>8.0</v>
      </c>
      <c r="B105" s="2">
        <v>11.0</v>
      </c>
      <c r="C105" s="2" t="s">
        <v>47</v>
      </c>
      <c r="D105" s="2" t="s">
        <v>8</v>
      </c>
      <c r="E105" s="2" t="s">
        <v>1088</v>
      </c>
      <c r="F105" s="2" t="s">
        <v>1089</v>
      </c>
      <c r="G105" s="2"/>
    </row>
    <row r="106">
      <c r="A106" s="2">
        <v>8.0</v>
      </c>
      <c r="B106" s="2">
        <v>12.0</v>
      </c>
      <c r="C106" s="2" t="s">
        <v>47</v>
      </c>
      <c r="D106" s="2" t="s">
        <v>8</v>
      </c>
      <c r="E106" s="2" t="s">
        <v>1090</v>
      </c>
      <c r="F106" s="2" t="s">
        <v>1091</v>
      </c>
      <c r="G106" s="2"/>
    </row>
    <row r="107">
      <c r="A107" s="2">
        <v>8.0</v>
      </c>
      <c r="B107" s="2">
        <v>16.0</v>
      </c>
      <c r="C107" s="2" t="s">
        <v>54</v>
      </c>
      <c r="D107" s="2" t="s">
        <v>8</v>
      </c>
      <c r="E107" s="23" t="s">
        <v>1092</v>
      </c>
      <c r="F107" s="2" t="s">
        <v>1093</v>
      </c>
      <c r="G107" s="2"/>
    </row>
    <row r="108">
      <c r="A108" s="2">
        <v>8.0</v>
      </c>
      <c r="B108" s="2">
        <v>17.0</v>
      </c>
      <c r="C108" s="12" t="s">
        <v>176</v>
      </c>
      <c r="D108" s="2" t="s">
        <v>8</v>
      </c>
      <c r="E108" s="2" t="s">
        <v>1094</v>
      </c>
      <c r="F108" s="2" t="s">
        <v>1091</v>
      </c>
      <c r="G108" s="2"/>
    </row>
    <row r="109">
      <c r="A109" s="2">
        <v>9.0</v>
      </c>
      <c r="B109" s="2">
        <v>1.0</v>
      </c>
      <c r="C109" s="2" t="s">
        <v>7</v>
      </c>
      <c r="D109" s="2" t="s">
        <v>8</v>
      </c>
      <c r="E109" s="2" t="s">
        <v>1095</v>
      </c>
      <c r="F109" s="2" t="s">
        <v>1096</v>
      </c>
      <c r="G109" s="2"/>
    </row>
    <row r="110">
      <c r="A110" s="2">
        <v>9.0</v>
      </c>
      <c r="B110" s="2">
        <v>2.0</v>
      </c>
      <c r="C110" s="2" t="s">
        <v>7</v>
      </c>
      <c r="D110" s="2"/>
      <c r="E110" s="2" t="s">
        <v>1097</v>
      </c>
      <c r="F110" s="2" t="s">
        <v>1097</v>
      </c>
      <c r="G110" s="2"/>
    </row>
    <row r="111">
      <c r="A111" s="2">
        <v>9.0</v>
      </c>
      <c r="B111" s="2">
        <v>6.0</v>
      </c>
      <c r="C111" s="2" t="s">
        <v>7</v>
      </c>
      <c r="D111" s="2"/>
      <c r="E111" s="2" t="s">
        <v>1097</v>
      </c>
      <c r="F111" s="2" t="s">
        <v>1097</v>
      </c>
      <c r="G111" s="2"/>
    </row>
    <row r="112">
      <c r="A112" s="2">
        <v>9.0</v>
      </c>
      <c r="B112" s="2">
        <v>7.0</v>
      </c>
      <c r="C112" s="12" t="s">
        <v>59</v>
      </c>
      <c r="D112" s="2" t="s">
        <v>8</v>
      </c>
      <c r="E112" s="2" t="s">
        <v>1098</v>
      </c>
      <c r="F112" s="2" t="s">
        <v>1099</v>
      </c>
      <c r="G112" s="2"/>
    </row>
    <row r="113">
      <c r="A113" s="2"/>
      <c r="B113" s="2"/>
      <c r="C113" s="12"/>
      <c r="D113" s="2" t="s">
        <v>19</v>
      </c>
      <c r="E113" s="2" t="s">
        <v>1100</v>
      </c>
      <c r="F113" s="2" t="s">
        <v>1101</v>
      </c>
      <c r="G113" s="2"/>
    </row>
    <row r="114">
      <c r="A114" s="2">
        <v>9.0</v>
      </c>
      <c r="B114" s="2">
        <v>11.0</v>
      </c>
      <c r="C114" s="12" t="s">
        <v>40</v>
      </c>
      <c r="D114" s="2" t="s">
        <v>8</v>
      </c>
      <c r="E114" s="2" t="s">
        <v>1102</v>
      </c>
      <c r="F114" s="2" t="s">
        <v>1103</v>
      </c>
      <c r="G114" s="2"/>
    </row>
    <row r="115">
      <c r="A115" s="2"/>
      <c r="B115" s="2"/>
      <c r="C115" s="12"/>
      <c r="D115" s="2" t="s">
        <v>8</v>
      </c>
      <c r="E115" s="2" t="s">
        <v>1104</v>
      </c>
      <c r="F115" s="2" t="s">
        <v>1105</v>
      </c>
      <c r="G115" s="2"/>
    </row>
    <row r="116">
      <c r="A116" s="2">
        <v>9.0</v>
      </c>
      <c r="B116" s="2">
        <v>12.0</v>
      </c>
      <c r="C116" s="12" t="s">
        <v>40</v>
      </c>
      <c r="D116" s="2"/>
      <c r="E116" s="2" t="s">
        <v>1097</v>
      </c>
      <c r="F116" s="2" t="s">
        <v>1097</v>
      </c>
      <c r="G116" s="2"/>
    </row>
    <row r="117">
      <c r="A117" s="2">
        <v>9.0</v>
      </c>
      <c r="B117" s="2">
        <v>16.0</v>
      </c>
      <c r="C117" s="2" t="s">
        <v>47</v>
      </c>
      <c r="D117" s="2" t="s">
        <v>19</v>
      </c>
      <c r="E117" s="2" t="s">
        <v>1106</v>
      </c>
      <c r="F117" s="2" t="s">
        <v>1107</v>
      </c>
      <c r="G117" s="2"/>
    </row>
    <row r="118">
      <c r="A118" s="2"/>
      <c r="B118" s="2"/>
      <c r="C118" s="2"/>
      <c r="D118" s="2" t="s">
        <v>19</v>
      </c>
      <c r="E118" s="2" t="s">
        <v>606</v>
      </c>
      <c r="F118" s="2" t="s">
        <v>1108</v>
      </c>
      <c r="G118" s="2"/>
    </row>
    <row r="119">
      <c r="A119" s="2">
        <v>9.0</v>
      </c>
      <c r="B119" s="2">
        <v>17.0</v>
      </c>
      <c r="C119" s="2" t="s">
        <v>47</v>
      </c>
      <c r="D119" s="2" t="s">
        <v>19</v>
      </c>
      <c r="E119" s="2" t="s">
        <v>1109</v>
      </c>
      <c r="F119" s="2" t="s">
        <v>1110</v>
      </c>
      <c r="G119" s="2"/>
    </row>
    <row r="120">
      <c r="A120" s="2">
        <v>9.0</v>
      </c>
      <c r="B120" s="2">
        <v>21.0</v>
      </c>
      <c r="C120" s="12" t="s">
        <v>72</v>
      </c>
      <c r="D120" s="2" t="s">
        <v>19</v>
      </c>
      <c r="E120" s="2" t="s">
        <v>1111</v>
      </c>
      <c r="F120" s="2" t="s">
        <v>1112</v>
      </c>
      <c r="G120" s="2"/>
    </row>
    <row r="121">
      <c r="A121" s="2">
        <v>9.0</v>
      </c>
      <c r="B121" s="2">
        <v>22.0</v>
      </c>
      <c r="C121" s="12" t="s">
        <v>72</v>
      </c>
      <c r="D121" s="2" t="s">
        <v>19</v>
      </c>
      <c r="E121" s="2" t="s">
        <v>1113</v>
      </c>
      <c r="F121" s="2" t="s">
        <v>1114</v>
      </c>
      <c r="G121" s="2"/>
    </row>
    <row r="122">
      <c r="A122" s="2">
        <v>9.0</v>
      </c>
      <c r="B122" s="2">
        <v>26.0</v>
      </c>
      <c r="C122" s="12" t="s">
        <v>54</v>
      </c>
      <c r="D122" s="2" t="s">
        <v>8</v>
      </c>
      <c r="E122" s="2" t="s">
        <v>1115</v>
      </c>
      <c r="F122" s="2" t="s">
        <v>1116</v>
      </c>
      <c r="G122" s="2"/>
    </row>
    <row r="123">
      <c r="A123" s="2">
        <v>9.0</v>
      </c>
      <c r="B123" s="2">
        <v>27.0</v>
      </c>
      <c r="C123" s="12" t="s">
        <v>176</v>
      </c>
      <c r="D123" s="2"/>
      <c r="E123" s="2" t="s">
        <v>1097</v>
      </c>
      <c r="F123" s="2" t="s">
        <v>1097</v>
      </c>
      <c r="G123" s="2"/>
    </row>
    <row r="124">
      <c r="A124" s="2">
        <v>10.0</v>
      </c>
      <c r="B124" s="2">
        <v>1.0</v>
      </c>
      <c r="C124" s="2" t="s">
        <v>451</v>
      </c>
      <c r="D124" s="2"/>
      <c r="E124" s="2" t="s">
        <v>1097</v>
      </c>
      <c r="F124" s="2" t="s">
        <v>1097</v>
      </c>
      <c r="G124" s="2"/>
    </row>
    <row r="125">
      <c r="A125" s="2">
        <v>10.0</v>
      </c>
      <c r="B125" s="2">
        <v>2.0</v>
      </c>
      <c r="C125" s="2" t="s">
        <v>451</v>
      </c>
      <c r="D125" s="2" t="s">
        <v>19</v>
      </c>
      <c r="E125" s="2" t="s">
        <v>1117</v>
      </c>
      <c r="F125" s="2" t="s">
        <v>1118</v>
      </c>
      <c r="G125" s="2"/>
    </row>
    <row r="126">
      <c r="A126" s="2">
        <v>10.0</v>
      </c>
      <c r="B126" s="2">
        <v>6.0</v>
      </c>
      <c r="C126" s="2" t="s">
        <v>7</v>
      </c>
      <c r="D126" s="2" t="s">
        <v>8</v>
      </c>
      <c r="E126" s="2" t="s">
        <v>1119</v>
      </c>
      <c r="F126" s="2" t="s">
        <v>1120</v>
      </c>
      <c r="G126" s="2"/>
    </row>
    <row r="127">
      <c r="A127" s="2">
        <v>10.0</v>
      </c>
      <c r="B127" s="2">
        <v>7.0</v>
      </c>
      <c r="C127" s="2" t="s">
        <v>7</v>
      </c>
      <c r="D127" s="2" t="s">
        <v>19</v>
      </c>
      <c r="E127" s="2" t="s">
        <v>1121</v>
      </c>
      <c r="F127" s="2" t="s">
        <v>1122</v>
      </c>
      <c r="G127" s="2"/>
    </row>
    <row r="128">
      <c r="A128" s="2"/>
      <c r="B128" s="2"/>
      <c r="C128" s="2"/>
      <c r="D128" s="2" t="s">
        <v>8</v>
      </c>
      <c r="E128" s="2" t="s">
        <v>1123</v>
      </c>
      <c r="F128" s="2" t="s">
        <v>1124</v>
      </c>
      <c r="G128" s="2"/>
    </row>
    <row r="129">
      <c r="A129" s="2"/>
      <c r="B129" s="2"/>
      <c r="C129" s="2"/>
      <c r="D129" s="2" t="s">
        <v>8</v>
      </c>
      <c r="E129" s="2" t="s">
        <v>1125</v>
      </c>
      <c r="F129" s="2" t="s">
        <v>1126</v>
      </c>
      <c r="G129" s="2"/>
    </row>
    <row r="130">
      <c r="A130" s="2">
        <v>10.0</v>
      </c>
      <c r="B130" s="2">
        <v>11.0</v>
      </c>
      <c r="C130" s="12" t="s">
        <v>59</v>
      </c>
      <c r="D130" s="2" t="s">
        <v>19</v>
      </c>
      <c r="E130" s="2" t="s">
        <v>1127</v>
      </c>
      <c r="F130" s="2" t="s">
        <v>1128</v>
      </c>
      <c r="G130" s="2"/>
    </row>
    <row r="131">
      <c r="A131" s="2">
        <v>10.0</v>
      </c>
      <c r="B131" s="2">
        <v>12.0</v>
      </c>
      <c r="C131" s="12" t="s">
        <v>59</v>
      </c>
      <c r="D131" s="2" t="s">
        <v>8</v>
      </c>
      <c r="E131" s="2" t="s">
        <v>1129</v>
      </c>
      <c r="F131" s="2" t="s">
        <v>1130</v>
      </c>
      <c r="G131" s="2"/>
    </row>
    <row r="132">
      <c r="A132" s="2">
        <v>10.0</v>
      </c>
      <c r="B132" s="2">
        <v>16.0</v>
      </c>
      <c r="C132" s="2" t="s">
        <v>28</v>
      </c>
      <c r="D132" s="2" t="s">
        <v>8</v>
      </c>
      <c r="E132" s="2" t="s">
        <v>1131</v>
      </c>
      <c r="F132" s="2" t="s">
        <v>1132</v>
      </c>
      <c r="G132" s="2"/>
    </row>
    <row r="133">
      <c r="A133" s="2">
        <v>10.0</v>
      </c>
      <c r="B133" s="2">
        <v>17.0</v>
      </c>
      <c r="C133" s="2" t="s">
        <v>28</v>
      </c>
      <c r="D133" s="2" t="s">
        <v>8</v>
      </c>
      <c r="E133" s="2" t="s">
        <v>1133</v>
      </c>
      <c r="F133" s="2" t="s">
        <v>1134</v>
      </c>
      <c r="G133" s="2"/>
    </row>
    <row r="134">
      <c r="A134" s="2"/>
      <c r="B134" s="2"/>
      <c r="C134" s="2"/>
      <c r="D134" s="2" t="s">
        <v>19</v>
      </c>
      <c r="E134" s="2" t="s">
        <v>1135</v>
      </c>
      <c r="F134" s="2" t="s">
        <v>1136</v>
      </c>
      <c r="G134" s="2"/>
    </row>
    <row r="135">
      <c r="A135" s="2">
        <v>10.0</v>
      </c>
      <c r="B135" s="2">
        <v>21.0</v>
      </c>
      <c r="C135" s="2" t="s">
        <v>72</v>
      </c>
      <c r="D135" s="2" t="s">
        <v>19</v>
      </c>
      <c r="E135" s="2" t="s">
        <v>1137</v>
      </c>
      <c r="F135" s="2" t="s">
        <v>1138</v>
      </c>
      <c r="G135" s="2"/>
    </row>
    <row r="136">
      <c r="A136" s="2">
        <v>10.0</v>
      </c>
      <c r="B136" s="2">
        <v>22.0</v>
      </c>
      <c r="C136" s="2" t="s">
        <v>33</v>
      </c>
      <c r="D136" s="2" t="s">
        <v>19</v>
      </c>
      <c r="E136" s="2" t="s">
        <v>1139</v>
      </c>
      <c r="F136" s="2" t="s">
        <v>1140</v>
      </c>
      <c r="G136" s="2"/>
    </row>
    <row r="137">
      <c r="A137" s="2"/>
      <c r="B137" s="2"/>
      <c r="C137" s="2"/>
      <c r="D137" s="2" t="s">
        <v>8</v>
      </c>
      <c r="E137" s="2" t="s">
        <v>1141</v>
      </c>
      <c r="F137" s="2" t="s">
        <v>1142</v>
      </c>
      <c r="G137" s="2"/>
    </row>
    <row r="138">
      <c r="A138" s="2">
        <v>10.0</v>
      </c>
      <c r="B138" s="2">
        <v>26.0</v>
      </c>
      <c r="C138" s="2" t="s">
        <v>54</v>
      </c>
      <c r="D138" s="2" t="s">
        <v>19</v>
      </c>
      <c r="E138" s="2" t="s">
        <v>1143</v>
      </c>
      <c r="F138" s="2" t="s">
        <v>1144</v>
      </c>
      <c r="G138" s="2"/>
    </row>
    <row r="139">
      <c r="A139" s="2">
        <v>10.0</v>
      </c>
      <c r="B139" s="2">
        <v>27.0</v>
      </c>
      <c r="C139" s="2" t="s">
        <v>54</v>
      </c>
      <c r="D139" s="2" t="s">
        <v>19</v>
      </c>
      <c r="E139" s="2" t="s">
        <v>1145</v>
      </c>
      <c r="F139" s="2" t="s">
        <v>1146</v>
      </c>
      <c r="G139" s="2"/>
    </row>
    <row r="140">
      <c r="A140" s="2">
        <v>10.0</v>
      </c>
      <c r="B140" s="2">
        <v>31.0</v>
      </c>
      <c r="C140" s="2" t="s">
        <v>176</v>
      </c>
      <c r="D140" s="2" t="s">
        <v>19</v>
      </c>
      <c r="E140" s="2" t="s">
        <v>1147</v>
      </c>
      <c r="F140" s="2" t="s">
        <v>1148</v>
      </c>
      <c r="G140" s="2"/>
    </row>
    <row r="141">
      <c r="A141" s="2">
        <v>11.0</v>
      </c>
      <c r="B141" s="2">
        <v>1.0</v>
      </c>
      <c r="C141" s="2" t="s">
        <v>451</v>
      </c>
      <c r="D141" s="2"/>
      <c r="E141" s="2" t="s">
        <v>1097</v>
      </c>
      <c r="F141" s="2" t="s">
        <v>1097</v>
      </c>
      <c r="G141" s="2"/>
    </row>
    <row r="142">
      <c r="A142" s="2">
        <v>11.0</v>
      </c>
      <c r="B142" s="2">
        <v>2.0</v>
      </c>
      <c r="C142" s="2" t="s">
        <v>451</v>
      </c>
      <c r="D142" s="2" t="s">
        <v>19</v>
      </c>
      <c r="E142" s="2" t="s">
        <v>1149</v>
      </c>
      <c r="F142" s="2" t="s">
        <v>1150</v>
      </c>
      <c r="G142" s="2"/>
    </row>
    <row r="143">
      <c r="A143" s="2"/>
      <c r="B143" s="2"/>
      <c r="C143" s="2"/>
      <c r="D143" s="2" t="s">
        <v>19</v>
      </c>
      <c r="E143" s="2" t="s">
        <v>1151</v>
      </c>
      <c r="F143" s="2" t="s">
        <v>1152</v>
      </c>
      <c r="G143" s="2"/>
    </row>
    <row r="144">
      <c r="A144" s="2">
        <v>11.0</v>
      </c>
      <c r="B144" s="2">
        <v>6.0</v>
      </c>
      <c r="C144" s="2" t="s">
        <v>7</v>
      </c>
      <c r="D144" s="2" t="s">
        <v>8</v>
      </c>
      <c r="E144" s="2" t="s">
        <v>1153</v>
      </c>
      <c r="F144" s="2" t="s">
        <v>1154</v>
      </c>
      <c r="G144" s="2"/>
    </row>
    <row r="145">
      <c r="A145" s="2"/>
      <c r="B145" s="2"/>
      <c r="C145" s="2"/>
      <c r="D145" s="2" t="s">
        <v>8</v>
      </c>
      <c r="E145" s="2" t="s">
        <v>1155</v>
      </c>
      <c r="F145" s="2" t="s">
        <v>1156</v>
      </c>
      <c r="G145" s="2"/>
    </row>
    <row r="146">
      <c r="A146" s="2">
        <v>11.0</v>
      </c>
      <c r="B146" s="2">
        <v>7.0</v>
      </c>
      <c r="C146" s="12" t="s">
        <v>59</v>
      </c>
      <c r="D146" s="2" t="s">
        <v>19</v>
      </c>
      <c r="E146" s="2" t="s">
        <v>1157</v>
      </c>
      <c r="F146" s="2" t="s">
        <v>1158</v>
      </c>
      <c r="G146" s="2"/>
    </row>
    <row r="147">
      <c r="A147" s="2"/>
      <c r="B147" s="2"/>
      <c r="C147" s="12"/>
      <c r="D147" s="2" t="s">
        <v>19</v>
      </c>
      <c r="E147" s="2" t="s">
        <v>1159</v>
      </c>
      <c r="F147" s="2" t="s">
        <v>1160</v>
      </c>
      <c r="G147" s="2"/>
    </row>
    <row r="148">
      <c r="A148" s="2">
        <v>11.0</v>
      </c>
      <c r="B148" s="2">
        <v>11.0</v>
      </c>
      <c r="C148" s="2" t="s">
        <v>40</v>
      </c>
      <c r="D148" s="2" t="s">
        <v>19</v>
      </c>
      <c r="E148" s="2" t="s">
        <v>1161</v>
      </c>
      <c r="F148" s="2" t="s">
        <v>1162</v>
      </c>
      <c r="G148" s="2"/>
    </row>
    <row r="149">
      <c r="A149" s="2"/>
      <c r="B149" s="2"/>
      <c r="C149" s="2"/>
      <c r="D149" s="2" t="s">
        <v>19</v>
      </c>
      <c r="E149" s="2" t="s">
        <v>1163</v>
      </c>
      <c r="F149" s="2" t="s">
        <v>1164</v>
      </c>
      <c r="G149" s="2"/>
    </row>
    <row r="150">
      <c r="A150" s="2">
        <v>11.0</v>
      </c>
      <c r="B150" s="2">
        <v>12.0</v>
      </c>
      <c r="C150" s="2" t="s">
        <v>28</v>
      </c>
      <c r="D150" s="2" t="s">
        <v>8</v>
      </c>
      <c r="E150" s="2" t="s">
        <v>1165</v>
      </c>
      <c r="F150" s="2" t="s">
        <v>1166</v>
      </c>
      <c r="G150" s="2"/>
    </row>
    <row r="151">
      <c r="A151" s="2">
        <v>11.0</v>
      </c>
      <c r="B151" s="2">
        <v>16.0</v>
      </c>
      <c r="C151" s="2" t="s">
        <v>72</v>
      </c>
      <c r="D151" s="2" t="s">
        <v>19</v>
      </c>
      <c r="E151" s="2" t="s">
        <v>1167</v>
      </c>
      <c r="F151" s="2" t="s">
        <v>1168</v>
      </c>
      <c r="G151" s="2"/>
    </row>
    <row r="152">
      <c r="A152" s="2">
        <v>11.0</v>
      </c>
      <c r="B152" s="2">
        <v>17.0</v>
      </c>
      <c r="C152" s="2" t="s">
        <v>33</v>
      </c>
      <c r="D152" s="2" t="s">
        <v>19</v>
      </c>
      <c r="E152" s="2" t="s">
        <v>1169</v>
      </c>
      <c r="F152" s="2" t="s">
        <v>1170</v>
      </c>
      <c r="G152" s="2"/>
    </row>
    <row r="153">
      <c r="A153" s="2">
        <v>12.0</v>
      </c>
      <c r="B153" s="2">
        <v>1.0</v>
      </c>
      <c r="C153" s="2" t="s">
        <v>451</v>
      </c>
      <c r="D153" s="2" t="s">
        <v>19</v>
      </c>
      <c r="E153" s="2" t="s">
        <v>1171</v>
      </c>
      <c r="F153" s="2" t="s">
        <v>1172</v>
      </c>
      <c r="G153" s="2"/>
    </row>
    <row r="154">
      <c r="A154" s="2">
        <v>12.0</v>
      </c>
      <c r="B154" s="2">
        <v>2.0</v>
      </c>
      <c r="C154" s="2" t="s">
        <v>451</v>
      </c>
      <c r="D154" s="2" t="s">
        <v>19</v>
      </c>
      <c r="E154" s="2" t="s">
        <v>1173</v>
      </c>
      <c r="F154" s="2" t="s">
        <v>1174</v>
      </c>
      <c r="G154" s="2"/>
    </row>
    <row r="155">
      <c r="A155" s="2">
        <v>12.0</v>
      </c>
      <c r="B155" s="2">
        <v>6.0</v>
      </c>
      <c r="C155" s="2" t="s">
        <v>451</v>
      </c>
      <c r="D155" s="2" t="s">
        <v>19</v>
      </c>
      <c r="E155" s="2" t="s">
        <v>1175</v>
      </c>
      <c r="F155" s="2" t="s">
        <v>1176</v>
      </c>
      <c r="G155" s="2"/>
    </row>
    <row r="156">
      <c r="A156" s="2">
        <v>12.0</v>
      </c>
      <c r="B156" s="2">
        <v>7.0</v>
      </c>
      <c r="C156" s="2" t="s">
        <v>7</v>
      </c>
      <c r="D156" s="2" t="s">
        <v>8</v>
      </c>
      <c r="E156" s="2" t="s">
        <v>1177</v>
      </c>
      <c r="F156" s="2" t="s">
        <v>1178</v>
      </c>
      <c r="G156" s="2"/>
    </row>
    <row r="157">
      <c r="A157" s="2"/>
      <c r="B157" s="2"/>
      <c r="C157" s="2"/>
      <c r="D157" s="2" t="s">
        <v>8</v>
      </c>
      <c r="E157" s="2" t="s">
        <v>1179</v>
      </c>
      <c r="F157" s="2" t="s">
        <v>1180</v>
      </c>
      <c r="G157" s="2"/>
    </row>
    <row r="158">
      <c r="A158" s="2">
        <v>12.0</v>
      </c>
      <c r="B158" s="2">
        <v>11.0</v>
      </c>
      <c r="C158" s="2" t="s">
        <v>7</v>
      </c>
      <c r="D158" s="2" t="s">
        <v>19</v>
      </c>
      <c r="E158" s="2" t="s">
        <v>1181</v>
      </c>
      <c r="F158" s="2" t="s">
        <v>1182</v>
      </c>
      <c r="G158" s="2"/>
    </row>
    <row r="159">
      <c r="A159" s="2">
        <v>12.0</v>
      </c>
      <c r="B159" s="2">
        <v>12.0</v>
      </c>
      <c r="C159" s="2" t="s">
        <v>7</v>
      </c>
      <c r="D159" s="2" t="s">
        <v>19</v>
      </c>
      <c r="E159" s="2" t="s">
        <v>1183</v>
      </c>
      <c r="F159" s="2" t="s">
        <v>1184</v>
      </c>
      <c r="G159" s="2"/>
    </row>
    <row r="160">
      <c r="A160" s="2"/>
      <c r="B160" s="2"/>
      <c r="C160" s="2"/>
      <c r="D160" s="2" t="s">
        <v>19</v>
      </c>
      <c r="E160" s="2" t="s">
        <v>1185</v>
      </c>
      <c r="F160" s="2" t="s">
        <v>1186</v>
      </c>
      <c r="G160" s="2"/>
    </row>
    <row r="161">
      <c r="A161" s="2">
        <v>12.0</v>
      </c>
      <c r="B161" s="2">
        <v>16.0</v>
      </c>
      <c r="C161" s="2" t="s">
        <v>7</v>
      </c>
      <c r="D161" s="2" t="s">
        <v>19</v>
      </c>
      <c r="E161" s="2" t="s">
        <v>1187</v>
      </c>
      <c r="F161" s="2" t="s">
        <v>1188</v>
      </c>
      <c r="G161" s="2"/>
    </row>
    <row r="162">
      <c r="A162" s="2"/>
      <c r="B162" s="2"/>
      <c r="C162" s="2"/>
      <c r="D162" s="2" t="s">
        <v>19</v>
      </c>
      <c r="E162" s="2" t="s">
        <v>1189</v>
      </c>
      <c r="F162" s="2" t="s">
        <v>1190</v>
      </c>
      <c r="G162" s="2"/>
    </row>
    <row r="163">
      <c r="A163" s="2">
        <v>12.0</v>
      </c>
      <c r="B163" s="2">
        <v>17.0</v>
      </c>
      <c r="C163" s="12" t="s">
        <v>59</v>
      </c>
      <c r="D163" s="2" t="s">
        <v>8</v>
      </c>
      <c r="E163" s="2" t="s">
        <v>1191</v>
      </c>
      <c r="F163" s="2" t="s">
        <v>1192</v>
      </c>
      <c r="G163" s="2"/>
    </row>
    <row r="164">
      <c r="A164" s="2"/>
      <c r="B164" s="2"/>
      <c r="C164" s="12"/>
      <c r="D164" s="2" t="s">
        <v>19</v>
      </c>
      <c r="E164" s="2" t="s">
        <v>1193</v>
      </c>
      <c r="F164" s="2" t="s">
        <v>1194</v>
      </c>
      <c r="G164" s="2"/>
    </row>
    <row r="165">
      <c r="A165" s="2"/>
      <c r="B165" s="2"/>
      <c r="C165" s="12"/>
      <c r="D165" s="2" t="s">
        <v>8</v>
      </c>
      <c r="E165" s="2" t="s">
        <v>1195</v>
      </c>
      <c r="F165" s="2" t="s">
        <v>1196</v>
      </c>
      <c r="G165" s="2"/>
    </row>
    <row r="166">
      <c r="A166" s="2">
        <v>12.0</v>
      </c>
      <c r="B166" s="2">
        <v>21.0</v>
      </c>
      <c r="C166" s="2" t="s">
        <v>40</v>
      </c>
      <c r="D166" s="2" t="s">
        <v>19</v>
      </c>
      <c r="E166" s="2" t="s">
        <v>1197</v>
      </c>
      <c r="F166" s="2" t="s">
        <v>1198</v>
      </c>
      <c r="G166" s="2"/>
    </row>
    <row r="167">
      <c r="A167" s="2"/>
      <c r="B167" s="2"/>
      <c r="C167" s="2"/>
      <c r="D167" s="2" t="s">
        <v>19</v>
      </c>
      <c r="E167" s="2" t="s">
        <v>1199</v>
      </c>
      <c r="F167" s="2" t="s">
        <v>1200</v>
      </c>
      <c r="G167" s="2"/>
    </row>
    <row r="168">
      <c r="A168" s="2">
        <v>12.0</v>
      </c>
      <c r="B168" s="2">
        <v>22.0</v>
      </c>
      <c r="C168" s="2" t="s">
        <v>40</v>
      </c>
      <c r="D168" s="2"/>
      <c r="E168" s="2" t="s">
        <v>1097</v>
      </c>
      <c r="F168" s="2" t="s">
        <v>1097</v>
      </c>
      <c r="G168" s="2"/>
    </row>
    <row r="169">
      <c r="A169" s="2">
        <v>12.0</v>
      </c>
      <c r="B169" s="2">
        <v>26.0</v>
      </c>
      <c r="C169" s="2" t="s">
        <v>40</v>
      </c>
      <c r="D169" s="2" t="s">
        <v>8</v>
      </c>
      <c r="E169" s="2" t="s">
        <v>1201</v>
      </c>
      <c r="F169" s="2" t="s">
        <v>1202</v>
      </c>
      <c r="G169" s="2"/>
    </row>
    <row r="170">
      <c r="A170" s="2">
        <v>12.0</v>
      </c>
      <c r="B170" s="2">
        <v>27.0</v>
      </c>
      <c r="C170" s="2" t="s">
        <v>40</v>
      </c>
      <c r="D170" s="2" t="s">
        <v>19</v>
      </c>
      <c r="E170" s="2" t="s">
        <v>1203</v>
      </c>
      <c r="F170" s="2" t="s">
        <v>1204</v>
      </c>
      <c r="G170" s="2"/>
    </row>
    <row r="171">
      <c r="A171" s="2">
        <v>12.0</v>
      </c>
      <c r="B171" s="2">
        <v>31.0</v>
      </c>
      <c r="C171" s="2" t="s">
        <v>28</v>
      </c>
      <c r="D171" s="2"/>
      <c r="E171" s="2" t="s">
        <v>1097</v>
      </c>
      <c r="F171" s="2" t="s">
        <v>1097</v>
      </c>
      <c r="G171" s="2"/>
    </row>
    <row r="172">
      <c r="A172" s="2">
        <v>12.0</v>
      </c>
      <c r="B172" s="2">
        <v>32.0</v>
      </c>
      <c r="C172" s="2" t="s">
        <v>28</v>
      </c>
      <c r="D172" s="2" t="s">
        <v>19</v>
      </c>
      <c r="E172" s="2" t="s">
        <v>1205</v>
      </c>
      <c r="F172" s="2" t="s">
        <v>1206</v>
      </c>
      <c r="G172" s="2"/>
    </row>
    <row r="173">
      <c r="A173" s="2">
        <v>12.0</v>
      </c>
      <c r="B173" s="2">
        <v>36.0</v>
      </c>
      <c r="C173" s="12" t="s">
        <v>47</v>
      </c>
      <c r="D173" s="2" t="s">
        <v>8</v>
      </c>
      <c r="E173" s="2" t="s">
        <v>1207</v>
      </c>
      <c r="F173" s="2" t="s">
        <v>1208</v>
      </c>
      <c r="G173" s="2"/>
    </row>
    <row r="174">
      <c r="A174" s="2">
        <v>12.0</v>
      </c>
      <c r="B174" s="2">
        <v>37.0</v>
      </c>
      <c r="C174" s="12" t="s">
        <v>47</v>
      </c>
      <c r="D174" s="2" t="s">
        <v>8</v>
      </c>
      <c r="E174" s="2" t="s">
        <v>1209</v>
      </c>
      <c r="F174" s="2" t="s">
        <v>1210</v>
      </c>
      <c r="G174" s="2"/>
    </row>
    <row r="175">
      <c r="A175" s="2"/>
      <c r="B175" s="2"/>
      <c r="C175" s="12"/>
      <c r="D175" s="2" t="s">
        <v>8</v>
      </c>
      <c r="E175" s="2" t="s">
        <v>1211</v>
      </c>
      <c r="F175" s="2" t="s">
        <v>1212</v>
      </c>
      <c r="G175" s="2"/>
    </row>
    <row r="176">
      <c r="A176" s="2">
        <v>12.0</v>
      </c>
      <c r="B176" s="2">
        <v>41.0</v>
      </c>
      <c r="C176" s="2" t="s">
        <v>72</v>
      </c>
      <c r="D176" s="2" t="s">
        <v>8</v>
      </c>
      <c r="E176" s="2" t="s">
        <v>1213</v>
      </c>
      <c r="F176" s="2" t="s">
        <v>1214</v>
      </c>
      <c r="G176" s="2"/>
    </row>
    <row r="177">
      <c r="A177" s="2">
        <v>12.0</v>
      </c>
      <c r="B177" s="2">
        <v>42.0</v>
      </c>
      <c r="C177" s="2" t="s">
        <v>72</v>
      </c>
      <c r="D177" s="2"/>
      <c r="E177" s="2" t="s">
        <v>1097</v>
      </c>
      <c r="F177" s="2" t="s">
        <v>1097</v>
      </c>
      <c r="G177" s="2"/>
    </row>
    <row r="178">
      <c r="A178" s="2">
        <v>12.0</v>
      </c>
      <c r="B178" s="2">
        <v>46.0</v>
      </c>
      <c r="C178" s="2" t="s">
        <v>33</v>
      </c>
      <c r="D178" s="2"/>
      <c r="E178" s="2" t="s">
        <v>1097</v>
      </c>
      <c r="F178" s="2" t="s">
        <v>1097</v>
      </c>
      <c r="G178" s="2"/>
    </row>
    <row r="179">
      <c r="A179" s="2">
        <v>12.0</v>
      </c>
      <c r="B179" s="2">
        <v>47.0</v>
      </c>
      <c r="C179" s="2" t="s">
        <v>33</v>
      </c>
      <c r="D179" s="2"/>
      <c r="E179" s="2" t="s">
        <v>1097</v>
      </c>
      <c r="F179" s="2" t="s">
        <v>1097</v>
      </c>
      <c r="G179" s="2"/>
    </row>
    <row r="180">
      <c r="A180" s="2">
        <v>12.0</v>
      </c>
      <c r="B180" s="2">
        <v>51.0</v>
      </c>
      <c r="C180" s="2" t="s">
        <v>54</v>
      </c>
      <c r="D180" s="2" t="s">
        <v>19</v>
      </c>
      <c r="E180" s="2" t="s">
        <v>1215</v>
      </c>
      <c r="F180" s="2" t="s">
        <v>1216</v>
      </c>
      <c r="G180" s="2"/>
    </row>
    <row r="181">
      <c r="A181" s="2">
        <v>12.0</v>
      </c>
      <c r="B181" s="2">
        <v>52.0</v>
      </c>
      <c r="C181" s="2" t="s">
        <v>54</v>
      </c>
      <c r="D181" s="2" t="s">
        <v>19</v>
      </c>
      <c r="E181" s="2" t="s">
        <v>1217</v>
      </c>
      <c r="F181" s="2" t="s">
        <v>1218</v>
      </c>
      <c r="G181" s="2"/>
    </row>
    <row r="182">
      <c r="A182" s="2">
        <v>13.0</v>
      </c>
      <c r="B182" s="2">
        <v>1.0</v>
      </c>
      <c r="C182" s="2" t="s">
        <v>7</v>
      </c>
      <c r="D182" s="2"/>
      <c r="E182" s="2" t="s">
        <v>1097</v>
      </c>
      <c r="F182" s="2" t="s">
        <v>1097</v>
      </c>
      <c r="G182" s="2"/>
    </row>
    <row r="183">
      <c r="A183" s="2">
        <v>13.0</v>
      </c>
      <c r="B183" s="2">
        <v>2.0</v>
      </c>
      <c r="C183" s="2" t="s">
        <v>7</v>
      </c>
      <c r="D183" s="2" t="s">
        <v>19</v>
      </c>
      <c r="E183" s="2" t="s">
        <v>1219</v>
      </c>
      <c r="F183" s="2" t="s">
        <v>1220</v>
      </c>
      <c r="G183" s="2"/>
    </row>
    <row r="184">
      <c r="A184" s="2">
        <v>13.0</v>
      </c>
      <c r="B184" s="2">
        <v>6.0</v>
      </c>
      <c r="C184" s="2" t="s">
        <v>7</v>
      </c>
      <c r="D184" s="2" t="s">
        <v>19</v>
      </c>
      <c r="E184" s="2" t="s">
        <v>1221</v>
      </c>
      <c r="F184" s="2" t="s">
        <v>1222</v>
      </c>
      <c r="G184" s="2"/>
    </row>
    <row r="185">
      <c r="A185" s="2">
        <v>13.0</v>
      </c>
      <c r="B185" s="2">
        <v>7.0</v>
      </c>
      <c r="C185" s="12" t="s">
        <v>59</v>
      </c>
      <c r="D185" s="2"/>
      <c r="E185" s="2" t="s">
        <v>1097</v>
      </c>
      <c r="F185" s="2" t="s">
        <v>1097</v>
      </c>
      <c r="G185" s="2"/>
    </row>
    <row r="186">
      <c r="A186" s="2">
        <v>13.0</v>
      </c>
      <c r="B186" s="2">
        <v>11.0</v>
      </c>
      <c r="C186" s="2" t="s">
        <v>40</v>
      </c>
      <c r="D186" s="2" t="s">
        <v>19</v>
      </c>
      <c r="E186" s="2" t="s">
        <v>1223</v>
      </c>
      <c r="F186" s="2" t="s">
        <v>1224</v>
      </c>
      <c r="G186" s="2"/>
    </row>
    <row r="187">
      <c r="A187" s="2">
        <v>13.0</v>
      </c>
      <c r="B187" s="2">
        <v>12.0</v>
      </c>
      <c r="C187" s="2" t="s">
        <v>28</v>
      </c>
      <c r="D187" s="2" t="s">
        <v>19</v>
      </c>
      <c r="E187" s="2" t="s">
        <v>1225</v>
      </c>
      <c r="F187" s="2" t="s">
        <v>1226</v>
      </c>
      <c r="G187" s="2"/>
    </row>
    <row r="188">
      <c r="A188" s="2">
        <v>13.0</v>
      </c>
      <c r="B188" s="2">
        <v>16.0</v>
      </c>
      <c r="C188" s="2" t="s">
        <v>72</v>
      </c>
      <c r="D188" s="2" t="s">
        <v>19</v>
      </c>
      <c r="E188" s="2" t="s">
        <v>1227</v>
      </c>
      <c r="F188" s="2" t="s">
        <v>1228</v>
      </c>
      <c r="G188" s="2"/>
    </row>
    <row r="189">
      <c r="A189" s="2">
        <v>13.0</v>
      </c>
      <c r="B189" s="2">
        <v>17.0</v>
      </c>
      <c r="C189" s="2" t="s">
        <v>72</v>
      </c>
      <c r="D189" s="2" t="s">
        <v>19</v>
      </c>
      <c r="E189" s="2" t="s">
        <v>1229</v>
      </c>
      <c r="F189" s="2" t="s">
        <v>1230</v>
      </c>
      <c r="G189" s="2"/>
    </row>
    <row r="190">
      <c r="A190" s="2">
        <v>13.0</v>
      </c>
      <c r="B190" s="2">
        <v>21.0</v>
      </c>
      <c r="C190" s="2" t="s">
        <v>176</v>
      </c>
      <c r="D190" s="2" t="s">
        <v>19</v>
      </c>
      <c r="E190" s="2" t="s">
        <v>1231</v>
      </c>
      <c r="F190" s="2" t="s">
        <v>1232</v>
      </c>
      <c r="G190" s="2"/>
    </row>
    <row r="191">
      <c r="A191" s="2">
        <v>13.0</v>
      </c>
      <c r="B191" s="2">
        <v>22.0</v>
      </c>
      <c r="C191" s="2" t="s">
        <v>176</v>
      </c>
      <c r="D191" s="2"/>
      <c r="E191" s="2" t="s">
        <v>1097</v>
      </c>
      <c r="F191" s="2" t="s">
        <v>1097</v>
      </c>
      <c r="G191" s="2"/>
    </row>
    <row r="192">
      <c r="A192" s="24">
        <v>14.0</v>
      </c>
      <c r="B192" s="24">
        <v>1.0</v>
      </c>
      <c r="C192" s="24" t="s">
        <v>7</v>
      </c>
      <c r="D192" s="24" t="s">
        <v>8</v>
      </c>
      <c r="E192" s="24" t="s">
        <v>1233</v>
      </c>
      <c r="F192" s="24" t="s">
        <v>1234</v>
      </c>
      <c r="G192" s="24"/>
    </row>
    <row r="193">
      <c r="A193" s="24"/>
      <c r="B193" s="24"/>
      <c r="C193" s="24"/>
      <c r="D193" s="24" t="s">
        <v>8</v>
      </c>
      <c r="E193" s="24" t="s">
        <v>1235</v>
      </c>
      <c r="F193" s="24" t="s">
        <v>1236</v>
      </c>
      <c r="G193" s="24"/>
    </row>
    <row r="194">
      <c r="A194" s="24">
        <v>14.0</v>
      </c>
      <c r="B194" s="24">
        <v>2.0</v>
      </c>
      <c r="C194" s="24" t="s">
        <v>7</v>
      </c>
      <c r="D194" s="24" t="s">
        <v>8</v>
      </c>
      <c r="E194" s="24" t="s">
        <v>1237</v>
      </c>
      <c r="F194" s="24" t="s">
        <v>1238</v>
      </c>
      <c r="G194" s="24"/>
    </row>
    <row r="195">
      <c r="A195" s="24">
        <v>14.0</v>
      </c>
      <c r="B195" s="24">
        <v>6.0</v>
      </c>
      <c r="C195" s="24" t="s">
        <v>7</v>
      </c>
      <c r="D195" s="24"/>
      <c r="E195" s="24" t="s">
        <v>1097</v>
      </c>
      <c r="F195" s="24" t="s">
        <v>1097</v>
      </c>
      <c r="G195" s="24"/>
    </row>
    <row r="196">
      <c r="A196" s="24">
        <v>14.0</v>
      </c>
      <c r="B196" s="24">
        <v>7.0</v>
      </c>
      <c r="C196" s="24" t="s">
        <v>7</v>
      </c>
      <c r="D196" s="24" t="s">
        <v>8</v>
      </c>
      <c r="E196" s="24" t="s">
        <v>1239</v>
      </c>
      <c r="F196" s="24" t="s">
        <v>1240</v>
      </c>
      <c r="G196" s="24"/>
    </row>
    <row r="197">
      <c r="A197" s="24">
        <v>14.0</v>
      </c>
      <c r="B197" s="24">
        <v>11.0</v>
      </c>
      <c r="C197" s="25" t="s">
        <v>59</v>
      </c>
      <c r="D197" s="24" t="s">
        <v>19</v>
      </c>
      <c r="E197" s="24" t="s">
        <v>1241</v>
      </c>
      <c r="F197" s="24" t="s">
        <v>1242</v>
      </c>
      <c r="G197" s="24"/>
    </row>
    <row r="198">
      <c r="A198" s="24">
        <v>14.0</v>
      </c>
      <c r="B198" s="24">
        <v>12.0</v>
      </c>
      <c r="C198" s="24" t="s">
        <v>40</v>
      </c>
      <c r="D198" s="24" t="s">
        <v>8</v>
      </c>
      <c r="E198" s="24" t="s">
        <v>1243</v>
      </c>
      <c r="F198" s="24" t="s">
        <v>1244</v>
      </c>
      <c r="G198" s="24"/>
    </row>
    <row r="199">
      <c r="A199" s="24"/>
      <c r="B199" s="24"/>
      <c r="C199" s="24"/>
      <c r="D199" s="24" t="s">
        <v>19</v>
      </c>
      <c r="E199" s="24" t="s">
        <v>1245</v>
      </c>
      <c r="F199" s="24" t="s">
        <v>1246</v>
      </c>
      <c r="G199" s="24"/>
    </row>
    <row r="200">
      <c r="A200" s="24">
        <v>14.0</v>
      </c>
      <c r="B200" s="24">
        <v>16.0</v>
      </c>
      <c r="C200" s="25" t="s">
        <v>47</v>
      </c>
      <c r="D200" s="24" t="s">
        <v>8</v>
      </c>
      <c r="E200" s="24" t="s">
        <v>1247</v>
      </c>
      <c r="F200" s="24" t="s">
        <v>1248</v>
      </c>
      <c r="G200" s="24"/>
    </row>
    <row r="201">
      <c r="A201" s="24">
        <v>14.0</v>
      </c>
      <c r="B201" s="24">
        <v>17.0</v>
      </c>
      <c r="C201" s="25" t="s">
        <v>47</v>
      </c>
      <c r="D201" s="24" t="s">
        <v>8</v>
      </c>
      <c r="E201" s="24" t="s">
        <v>1249</v>
      </c>
      <c r="F201" s="24" t="s">
        <v>1250</v>
      </c>
      <c r="G201" s="24"/>
    </row>
    <row r="202">
      <c r="A202" s="24"/>
      <c r="B202" s="24"/>
      <c r="C202" s="25"/>
      <c r="D202" s="24" t="s">
        <v>19</v>
      </c>
      <c r="E202" s="24" t="s">
        <v>1251</v>
      </c>
      <c r="F202" s="24" t="s">
        <v>1252</v>
      </c>
      <c r="G202" s="24"/>
    </row>
    <row r="203">
      <c r="A203" s="24">
        <v>14.0</v>
      </c>
      <c r="B203" s="24">
        <v>21.0</v>
      </c>
      <c r="C203" s="24" t="s">
        <v>33</v>
      </c>
      <c r="D203" s="24" t="s">
        <v>19</v>
      </c>
      <c r="E203" s="24" t="s">
        <v>1253</v>
      </c>
      <c r="F203" s="24" t="s">
        <v>1254</v>
      </c>
      <c r="G203" s="24"/>
    </row>
    <row r="204">
      <c r="A204" s="24">
        <v>14.0</v>
      </c>
      <c r="B204" s="24">
        <v>22.0</v>
      </c>
      <c r="C204" s="24" t="s">
        <v>33</v>
      </c>
      <c r="D204" s="24" t="s">
        <v>19</v>
      </c>
      <c r="E204" s="24" t="s">
        <v>1255</v>
      </c>
      <c r="F204" s="24" t="s">
        <v>1256</v>
      </c>
      <c r="G204" s="24"/>
    </row>
    <row r="205">
      <c r="A205" s="24">
        <v>14.0</v>
      </c>
      <c r="B205" s="24">
        <v>26.0</v>
      </c>
      <c r="C205" s="24" t="s">
        <v>176</v>
      </c>
      <c r="D205" s="24" t="s">
        <v>8</v>
      </c>
      <c r="E205" s="24" t="s">
        <v>1257</v>
      </c>
      <c r="F205" s="24" t="s">
        <v>1258</v>
      </c>
      <c r="G205" s="24"/>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3.0" ySplit="1.0" topLeftCell="D2" activePane="bottomRight" state="frozen"/>
      <selection activeCell="D1" sqref="D1" pane="topRight"/>
      <selection activeCell="A2" sqref="A2" pane="bottomLeft"/>
      <selection activeCell="D2" sqref="D2" pane="bottomRight"/>
    </sheetView>
  </sheetViews>
  <sheetFormatPr customHeight="1" defaultColWidth="14.43" defaultRowHeight="15.75"/>
  <cols>
    <col customWidth="1" min="1" max="2" width="14.29"/>
    <col customWidth="1" min="3" max="3" width="24.29"/>
    <col customWidth="1" min="4" max="4" width="25.29"/>
    <col customWidth="1" min="5" max="5" width="43.57"/>
    <col customWidth="1" min="6" max="6" width="41.29"/>
    <col customWidth="1" min="7" max="7" width="16.29"/>
  </cols>
  <sheetData>
    <row r="1">
      <c r="A1" s="1" t="s">
        <v>0</v>
      </c>
      <c r="B1" s="1" t="s">
        <v>1</v>
      </c>
      <c r="C1" s="1" t="s">
        <v>2</v>
      </c>
      <c r="D1" s="1" t="s">
        <v>3</v>
      </c>
      <c r="E1" s="1" t="s">
        <v>4</v>
      </c>
      <c r="F1" s="1" t="s">
        <v>5</v>
      </c>
      <c r="G1" s="1" t="s">
        <v>6</v>
      </c>
    </row>
    <row r="2">
      <c r="A2" s="12">
        <v>1.0</v>
      </c>
      <c r="B2" s="2">
        <v>2.0</v>
      </c>
      <c r="C2" s="2" t="s">
        <v>7</v>
      </c>
      <c r="D2" s="2" t="s">
        <v>8</v>
      </c>
      <c r="E2" s="2" t="s">
        <v>1259</v>
      </c>
      <c r="F2" s="2" t="s">
        <v>893</v>
      </c>
      <c r="G2" s="2"/>
    </row>
    <row r="3">
      <c r="A3" s="12">
        <v>1.0</v>
      </c>
      <c r="B3" s="2">
        <v>3.0</v>
      </c>
      <c r="C3" s="2" t="s">
        <v>7</v>
      </c>
      <c r="D3" s="2" t="s">
        <v>8</v>
      </c>
      <c r="E3" s="2" t="s">
        <v>1260</v>
      </c>
      <c r="F3" s="2" t="s">
        <v>893</v>
      </c>
      <c r="G3" s="2"/>
    </row>
    <row r="4">
      <c r="A4" s="12">
        <v>1.0</v>
      </c>
      <c r="B4" s="2">
        <v>3.0</v>
      </c>
      <c r="C4" s="2" t="s">
        <v>7</v>
      </c>
      <c r="D4" s="2" t="s">
        <v>8</v>
      </c>
      <c r="E4" s="26" t="s">
        <v>15</v>
      </c>
      <c r="F4" s="26" t="s">
        <v>1261</v>
      </c>
      <c r="G4" s="26"/>
    </row>
    <row r="5">
      <c r="A5" s="12">
        <v>1.0</v>
      </c>
      <c r="B5" s="2">
        <v>3.0</v>
      </c>
      <c r="C5" s="2" t="s">
        <v>7</v>
      </c>
      <c r="D5" s="2" t="s">
        <v>8</v>
      </c>
      <c r="E5" s="26" t="s">
        <v>17</v>
      </c>
      <c r="F5" s="26" t="s">
        <v>1262</v>
      </c>
      <c r="G5" s="26"/>
    </row>
    <row r="6">
      <c r="A6" s="12">
        <v>1.0</v>
      </c>
      <c r="B6" s="2">
        <v>3.0</v>
      </c>
      <c r="C6" s="2" t="s">
        <v>7</v>
      </c>
      <c r="D6" s="2" t="s">
        <v>19</v>
      </c>
      <c r="E6" s="26" t="s">
        <v>20</v>
      </c>
      <c r="F6" s="26" t="s">
        <v>21</v>
      </c>
      <c r="G6" s="26"/>
    </row>
    <row r="7">
      <c r="A7" s="12">
        <v>1.0</v>
      </c>
      <c r="B7" s="2">
        <v>5.0</v>
      </c>
      <c r="C7" s="2" t="s">
        <v>7</v>
      </c>
      <c r="D7" s="2" t="s">
        <v>19</v>
      </c>
      <c r="E7" s="2" t="s">
        <v>1263</v>
      </c>
      <c r="F7" s="8" t="s">
        <v>1264</v>
      </c>
      <c r="G7" s="8"/>
    </row>
    <row r="8">
      <c r="A8" s="12">
        <v>1.0</v>
      </c>
      <c r="B8" s="2">
        <v>6.0</v>
      </c>
      <c r="C8" s="2" t="s">
        <v>28</v>
      </c>
      <c r="D8" s="2" t="s">
        <v>8</v>
      </c>
      <c r="E8" s="2" t="s">
        <v>1265</v>
      </c>
      <c r="F8" s="2" t="s">
        <v>1265</v>
      </c>
      <c r="G8" s="2"/>
    </row>
    <row r="9">
      <c r="A9" s="12">
        <v>1.0</v>
      </c>
      <c r="B9" s="2">
        <v>8.0</v>
      </c>
      <c r="C9" s="2" t="s">
        <v>33</v>
      </c>
      <c r="D9" s="2" t="s">
        <v>19</v>
      </c>
      <c r="E9" s="2" t="s">
        <v>1266</v>
      </c>
      <c r="F9" s="2" t="s">
        <v>1266</v>
      </c>
      <c r="G9" s="2"/>
    </row>
    <row r="10">
      <c r="A10" s="12">
        <v>1.0</v>
      </c>
      <c r="B10" s="2">
        <v>8.0</v>
      </c>
      <c r="C10" s="2" t="s">
        <v>33</v>
      </c>
      <c r="D10" s="2" t="s">
        <v>8</v>
      </c>
      <c r="E10" s="27"/>
      <c r="F10" s="27"/>
      <c r="G10" s="27"/>
    </row>
    <row r="11">
      <c r="A11" s="12">
        <v>1.0</v>
      </c>
      <c r="B11" s="2">
        <v>9.0</v>
      </c>
      <c r="C11" s="2" t="s">
        <v>33</v>
      </c>
      <c r="D11" s="2" t="s">
        <v>19</v>
      </c>
      <c r="E11" s="2" t="s">
        <v>1267</v>
      </c>
      <c r="F11" s="2" t="s">
        <v>1268</v>
      </c>
      <c r="G11" s="2"/>
    </row>
    <row r="12">
      <c r="A12" s="12">
        <v>1.0</v>
      </c>
      <c r="B12" s="2">
        <v>9.0</v>
      </c>
      <c r="C12" s="8" t="s">
        <v>72</v>
      </c>
      <c r="D12" s="2" t="s">
        <v>19</v>
      </c>
      <c r="E12" s="2" t="s">
        <v>36</v>
      </c>
      <c r="F12" s="2" t="s">
        <v>37</v>
      </c>
      <c r="G12" s="2"/>
    </row>
    <row r="13">
      <c r="A13" s="12">
        <v>1.0</v>
      </c>
      <c r="B13" s="2">
        <v>11.0</v>
      </c>
      <c r="C13" s="2" t="s">
        <v>72</v>
      </c>
      <c r="D13" s="2" t="s">
        <v>19</v>
      </c>
      <c r="E13" s="2" t="s">
        <v>1269</v>
      </c>
      <c r="F13" s="2" t="s">
        <v>1270</v>
      </c>
      <c r="G13" s="2"/>
    </row>
    <row r="14">
      <c r="A14" s="12">
        <v>1.0</v>
      </c>
      <c r="B14" s="2">
        <v>12.0</v>
      </c>
      <c r="C14" s="8" t="s">
        <v>72</v>
      </c>
      <c r="D14" s="2" t="s">
        <v>19</v>
      </c>
      <c r="E14" s="2" t="s">
        <v>1271</v>
      </c>
      <c r="F14" s="8" t="s">
        <v>1272</v>
      </c>
      <c r="G14" s="8"/>
    </row>
    <row r="15">
      <c r="A15" s="12">
        <v>1.0</v>
      </c>
      <c r="B15" s="2">
        <v>12.0</v>
      </c>
      <c r="C15" s="8" t="s">
        <v>72</v>
      </c>
      <c r="D15" s="2" t="s">
        <v>19</v>
      </c>
      <c r="E15" s="2"/>
      <c r="F15" s="2"/>
      <c r="G15" s="2"/>
    </row>
    <row r="16">
      <c r="A16" s="12">
        <v>1.0</v>
      </c>
      <c r="B16" s="2">
        <v>14.0</v>
      </c>
      <c r="C16" s="2" t="s">
        <v>54</v>
      </c>
      <c r="D16" s="2" t="s">
        <v>8</v>
      </c>
      <c r="E16" s="2" t="s">
        <v>1273</v>
      </c>
      <c r="F16" s="2" t="s">
        <v>908</v>
      </c>
      <c r="G16" s="2"/>
    </row>
    <row r="17">
      <c r="A17" s="12">
        <v>1.0</v>
      </c>
      <c r="B17" s="2">
        <v>15.0</v>
      </c>
      <c r="C17" s="2" t="s">
        <v>54</v>
      </c>
      <c r="D17" s="2" t="s">
        <v>19</v>
      </c>
      <c r="E17" s="2" t="s">
        <v>1274</v>
      </c>
      <c r="F17" s="2" t="s">
        <v>1275</v>
      </c>
      <c r="G17" s="2"/>
    </row>
    <row r="18">
      <c r="A18" s="12">
        <v>1.0</v>
      </c>
      <c r="B18" s="2">
        <v>17.0</v>
      </c>
      <c r="C18" s="2" t="s">
        <v>59</v>
      </c>
      <c r="D18" s="2" t="s">
        <v>8</v>
      </c>
      <c r="E18" s="2" t="s">
        <v>1276</v>
      </c>
      <c r="F18" s="2" t="s">
        <v>1276</v>
      </c>
      <c r="G18" s="2"/>
    </row>
    <row r="19">
      <c r="A19" s="2">
        <v>2.0</v>
      </c>
      <c r="B19" s="2">
        <v>2.0</v>
      </c>
      <c r="C19" s="2" t="s">
        <v>72</v>
      </c>
      <c r="D19" s="2"/>
      <c r="E19" s="28"/>
      <c r="F19" s="28"/>
      <c r="G19" s="28"/>
    </row>
    <row r="20">
      <c r="A20" s="2">
        <v>2.0</v>
      </c>
      <c r="B20" s="2">
        <v>3.0</v>
      </c>
      <c r="C20" s="2" t="s">
        <v>72</v>
      </c>
      <c r="D20" s="2" t="s">
        <v>8</v>
      </c>
      <c r="E20" s="2" t="s">
        <v>1277</v>
      </c>
      <c r="F20" s="2" t="s">
        <v>1278</v>
      </c>
      <c r="G20" s="2"/>
    </row>
    <row r="21">
      <c r="A21" s="2">
        <v>2.0</v>
      </c>
      <c r="B21" s="2">
        <v>3.0</v>
      </c>
      <c r="C21" s="2" t="s">
        <v>72</v>
      </c>
      <c r="D21" s="2" t="s">
        <v>8</v>
      </c>
      <c r="E21" s="2" t="s">
        <v>1279</v>
      </c>
      <c r="F21" s="2" t="s">
        <v>1280</v>
      </c>
      <c r="G21" s="2"/>
    </row>
    <row r="22">
      <c r="A22" s="2">
        <v>2.0</v>
      </c>
      <c r="B22" s="2">
        <v>5.0</v>
      </c>
      <c r="C22" s="2" t="s">
        <v>54</v>
      </c>
      <c r="D22" s="2" t="s">
        <v>19</v>
      </c>
      <c r="E22" s="2" t="s">
        <v>1281</v>
      </c>
      <c r="F22" s="2" t="s">
        <v>1282</v>
      </c>
      <c r="G22" s="2"/>
    </row>
    <row r="23">
      <c r="A23" s="2">
        <v>2.0</v>
      </c>
      <c r="B23" s="2">
        <v>6.0</v>
      </c>
      <c r="C23" s="2" t="s">
        <v>33</v>
      </c>
      <c r="D23" s="2" t="s">
        <v>19</v>
      </c>
      <c r="E23" s="2" t="s">
        <v>1283</v>
      </c>
      <c r="F23" s="2" t="s">
        <v>1284</v>
      </c>
      <c r="G23" s="2"/>
    </row>
    <row r="24">
      <c r="A24" s="2">
        <v>2.0</v>
      </c>
      <c r="B24" s="2">
        <v>6.0</v>
      </c>
      <c r="C24" s="2" t="s">
        <v>33</v>
      </c>
      <c r="D24" s="2" t="s">
        <v>19</v>
      </c>
      <c r="E24" s="2" t="s">
        <v>1285</v>
      </c>
      <c r="F24" s="2" t="s">
        <v>1286</v>
      </c>
      <c r="G24" s="2"/>
    </row>
    <row r="25">
      <c r="A25" s="2">
        <v>2.0</v>
      </c>
      <c r="B25" s="2">
        <v>8.0</v>
      </c>
      <c r="C25" s="2" t="s">
        <v>59</v>
      </c>
      <c r="D25" s="2" t="s">
        <v>8</v>
      </c>
      <c r="E25" s="2" t="s">
        <v>1287</v>
      </c>
      <c r="F25" s="2" t="s">
        <v>1288</v>
      </c>
      <c r="G25" s="2"/>
    </row>
    <row r="26">
      <c r="A26" s="2">
        <v>2.0</v>
      </c>
      <c r="B26" s="2">
        <v>9.0</v>
      </c>
      <c r="C26" s="2" t="s">
        <v>47</v>
      </c>
      <c r="D26" s="2" t="s">
        <v>8</v>
      </c>
      <c r="E26" s="2" t="s">
        <v>1289</v>
      </c>
      <c r="F26" s="2" t="s">
        <v>1290</v>
      </c>
      <c r="G26" s="2"/>
    </row>
    <row r="27">
      <c r="A27" s="2">
        <v>2.0</v>
      </c>
      <c r="B27" s="2">
        <v>11.0</v>
      </c>
      <c r="C27" s="2" t="s">
        <v>54</v>
      </c>
      <c r="D27" s="2" t="s">
        <v>19</v>
      </c>
      <c r="E27" s="2" t="s">
        <v>1291</v>
      </c>
      <c r="F27" s="2" t="s">
        <v>1282</v>
      </c>
      <c r="G27" s="2"/>
    </row>
    <row r="28">
      <c r="A28" s="2">
        <v>2.0</v>
      </c>
      <c r="B28" s="2">
        <v>12.0</v>
      </c>
      <c r="C28" s="2" t="s">
        <v>33</v>
      </c>
      <c r="D28" s="2" t="s">
        <v>19</v>
      </c>
      <c r="E28" s="2" t="s">
        <v>1292</v>
      </c>
      <c r="F28" s="2" t="s">
        <v>1293</v>
      </c>
      <c r="G28" s="2"/>
    </row>
    <row r="29">
      <c r="A29" s="2">
        <v>2.0</v>
      </c>
      <c r="B29" s="2">
        <v>14.0</v>
      </c>
      <c r="C29" s="2" t="s">
        <v>47</v>
      </c>
      <c r="D29" s="2" t="s">
        <v>8</v>
      </c>
      <c r="E29" s="2" t="s">
        <v>1294</v>
      </c>
      <c r="F29" s="2" t="s">
        <v>1295</v>
      </c>
      <c r="G29" s="2"/>
    </row>
    <row r="30">
      <c r="A30" s="2">
        <v>2.0</v>
      </c>
      <c r="B30" s="2">
        <v>14.0</v>
      </c>
      <c r="C30" s="2" t="s">
        <v>47</v>
      </c>
      <c r="D30" s="2" t="s">
        <v>19</v>
      </c>
      <c r="E30" s="2" t="s">
        <v>1296</v>
      </c>
      <c r="F30" s="2" t="s">
        <v>1297</v>
      </c>
      <c r="G30" s="2"/>
    </row>
    <row r="31">
      <c r="A31" s="2">
        <v>2.0</v>
      </c>
      <c r="B31" s="2">
        <v>14.0</v>
      </c>
      <c r="C31" s="2" t="s">
        <v>47</v>
      </c>
      <c r="D31" s="2" t="s">
        <v>8</v>
      </c>
      <c r="E31" s="2" t="s">
        <v>1298</v>
      </c>
      <c r="F31" s="2" t="s">
        <v>1299</v>
      </c>
      <c r="G31" s="2"/>
    </row>
    <row r="32">
      <c r="A32" s="2">
        <v>2.0</v>
      </c>
      <c r="B32" s="2">
        <v>15.0</v>
      </c>
      <c r="C32" s="2" t="s">
        <v>28</v>
      </c>
      <c r="D32" s="2" t="s">
        <v>19</v>
      </c>
      <c r="E32" s="2" t="s">
        <v>1300</v>
      </c>
      <c r="F32" s="2" t="s">
        <v>1301</v>
      </c>
      <c r="G32" s="2"/>
    </row>
    <row r="33">
      <c r="A33" s="2">
        <v>3.0</v>
      </c>
      <c r="B33" s="2">
        <v>2.0</v>
      </c>
      <c r="C33" s="2" t="s">
        <v>59</v>
      </c>
      <c r="D33" s="2" t="s">
        <v>8</v>
      </c>
      <c r="E33" s="2" t="s">
        <v>1302</v>
      </c>
      <c r="F33" s="2" t="s">
        <v>1303</v>
      </c>
      <c r="G33" s="2"/>
    </row>
    <row r="34">
      <c r="A34" s="2">
        <v>3.0</v>
      </c>
      <c r="B34" s="2">
        <v>2.0</v>
      </c>
      <c r="C34" s="2" t="s">
        <v>59</v>
      </c>
      <c r="D34" s="2" t="s">
        <v>19</v>
      </c>
      <c r="E34" s="2" t="s">
        <v>1304</v>
      </c>
      <c r="F34" s="2" t="s">
        <v>1305</v>
      </c>
      <c r="G34" s="2"/>
    </row>
    <row r="35">
      <c r="A35" s="2">
        <v>3.0</v>
      </c>
      <c r="B35" s="2">
        <v>2.0</v>
      </c>
      <c r="C35" s="2" t="s">
        <v>59</v>
      </c>
      <c r="D35" s="2" t="s">
        <v>19</v>
      </c>
      <c r="E35" s="2" t="s">
        <v>1306</v>
      </c>
      <c r="F35" s="2" t="s">
        <v>1307</v>
      </c>
      <c r="G35" s="2"/>
    </row>
    <row r="36">
      <c r="A36" s="2">
        <v>3.0</v>
      </c>
      <c r="B36" s="2">
        <v>3.0</v>
      </c>
      <c r="C36" s="2" t="s">
        <v>28</v>
      </c>
      <c r="D36" s="2" t="s">
        <v>8</v>
      </c>
      <c r="E36" s="2" t="s">
        <v>1308</v>
      </c>
      <c r="F36" s="2" t="s">
        <v>1309</v>
      </c>
      <c r="G36" s="2"/>
    </row>
    <row r="37">
      <c r="A37" s="2">
        <v>3.0</v>
      </c>
      <c r="B37" s="2">
        <v>4.0</v>
      </c>
      <c r="C37" s="2" t="s">
        <v>28</v>
      </c>
      <c r="D37" s="2" t="s">
        <v>19</v>
      </c>
      <c r="E37" s="2" t="s">
        <v>1310</v>
      </c>
      <c r="F37" s="2" t="s">
        <v>1311</v>
      </c>
      <c r="G37" s="2"/>
    </row>
    <row r="38">
      <c r="A38" s="2">
        <v>3.0</v>
      </c>
      <c r="B38" s="2">
        <v>5.0</v>
      </c>
      <c r="C38" s="2" t="s">
        <v>47</v>
      </c>
      <c r="D38" s="2" t="s">
        <v>8</v>
      </c>
      <c r="E38" s="2" t="s">
        <v>1312</v>
      </c>
      <c r="F38" s="2" t="s">
        <v>1313</v>
      </c>
      <c r="G38" s="2"/>
    </row>
    <row r="39">
      <c r="A39" s="2">
        <v>3.0</v>
      </c>
      <c r="B39" s="2">
        <v>5.0</v>
      </c>
      <c r="C39" s="2" t="s">
        <v>47</v>
      </c>
      <c r="D39" s="2" t="s">
        <v>19</v>
      </c>
      <c r="E39" s="2" t="s">
        <v>1314</v>
      </c>
      <c r="F39" s="2" t="s">
        <v>1315</v>
      </c>
      <c r="G39" s="2"/>
    </row>
    <row r="40">
      <c r="A40" s="2">
        <v>3.0</v>
      </c>
      <c r="B40" s="2">
        <v>7.0</v>
      </c>
      <c r="C40" s="2" t="s">
        <v>33</v>
      </c>
      <c r="D40" s="2" t="s">
        <v>8</v>
      </c>
      <c r="E40" s="2" t="s">
        <v>1316</v>
      </c>
      <c r="F40" s="2" t="s">
        <v>1317</v>
      </c>
      <c r="G40" s="2"/>
    </row>
    <row r="41">
      <c r="A41" s="2">
        <v>3.0</v>
      </c>
      <c r="B41" s="2">
        <v>7.0</v>
      </c>
      <c r="C41" s="2" t="s">
        <v>33</v>
      </c>
      <c r="D41" s="2" t="s">
        <v>19</v>
      </c>
      <c r="E41" s="2" t="s">
        <v>1318</v>
      </c>
      <c r="F41" s="2" t="s">
        <v>1319</v>
      </c>
      <c r="G41" s="2"/>
    </row>
    <row r="42">
      <c r="A42" s="2">
        <v>3.0</v>
      </c>
      <c r="B42" s="2">
        <v>8.0</v>
      </c>
      <c r="C42" s="2" t="s">
        <v>54</v>
      </c>
      <c r="D42" s="2" t="s">
        <v>8</v>
      </c>
      <c r="E42" s="2" t="s">
        <v>1320</v>
      </c>
      <c r="F42" s="2" t="s">
        <v>1321</v>
      </c>
      <c r="G42" s="2"/>
    </row>
    <row r="43">
      <c r="A43" s="2">
        <v>3.0</v>
      </c>
      <c r="B43" s="2">
        <v>8.0</v>
      </c>
      <c r="C43" s="2" t="s">
        <v>54</v>
      </c>
      <c r="D43" s="2" t="s">
        <v>19</v>
      </c>
      <c r="E43" s="2" t="s">
        <v>1322</v>
      </c>
      <c r="F43" s="2" t="s">
        <v>1323</v>
      </c>
      <c r="G43" s="2"/>
    </row>
    <row r="44">
      <c r="A44" s="2">
        <v>3.0</v>
      </c>
      <c r="B44" s="2">
        <v>8.0</v>
      </c>
      <c r="C44" s="2" t="s">
        <v>54</v>
      </c>
      <c r="D44" s="2" t="s">
        <v>19</v>
      </c>
      <c r="E44" s="2" t="s">
        <v>1324</v>
      </c>
      <c r="F44" s="2" t="s">
        <v>1325</v>
      </c>
      <c r="G44" s="2"/>
    </row>
    <row r="45">
      <c r="A45" s="2">
        <v>3.0</v>
      </c>
      <c r="B45" s="2">
        <v>8.0</v>
      </c>
      <c r="C45" s="2" t="s">
        <v>54</v>
      </c>
      <c r="D45" s="2" t="s">
        <v>19</v>
      </c>
      <c r="E45" s="2" t="s">
        <v>1326</v>
      </c>
      <c r="F45" s="2" t="s">
        <v>1327</v>
      </c>
      <c r="G45" s="2"/>
    </row>
    <row r="46">
      <c r="A46" s="2">
        <v>3.0</v>
      </c>
      <c r="B46" s="2">
        <v>9.0</v>
      </c>
      <c r="C46" s="2" t="s">
        <v>72</v>
      </c>
      <c r="D46" s="2" t="s">
        <v>8</v>
      </c>
      <c r="E46" s="2" t="s">
        <v>1328</v>
      </c>
      <c r="F46" s="2" t="s">
        <v>1329</v>
      </c>
      <c r="G46" s="2"/>
    </row>
    <row r="47">
      <c r="A47" s="2">
        <v>3.0</v>
      </c>
      <c r="B47" s="2">
        <v>9.0</v>
      </c>
      <c r="C47" s="2" t="s">
        <v>72</v>
      </c>
      <c r="D47" s="2" t="s">
        <v>19</v>
      </c>
      <c r="E47" s="2" t="s">
        <v>1330</v>
      </c>
      <c r="F47" s="2" t="s">
        <v>1331</v>
      </c>
      <c r="G47" s="2"/>
    </row>
    <row r="48">
      <c r="A48" s="2">
        <v>3.0</v>
      </c>
      <c r="B48" s="2">
        <v>10.0</v>
      </c>
      <c r="C48" s="29" t="s">
        <v>171</v>
      </c>
      <c r="D48" s="2" t="s">
        <v>8</v>
      </c>
      <c r="E48" s="2" t="s">
        <v>1332</v>
      </c>
      <c r="F48" s="2" t="s">
        <v>1333</v>
      </c>
      <c r="G48" s="2"/>
    </row>
    <row r="49">
      <c r="A49" s="2">
        <v>3.0</v>
      </c>
      <c r="B49" s="2">
        <v>10.0</v>
      </c>
      <c r="C49" s="29" t="s">
        <v>171</v>
      </c>
      <c r="D49" s="2" t="s">
        <v>19</v>
      </c>
      <c r="E49" s="2" t="s">
        <v>1334</v>
      </c>
      <c r="F49" s="2" t="s">
        <v>1335</v>
      </c>
      <c r="G49" s="2"/>
    </row>
    <row r="50">
      <c r="A50" s="2">
        <v>4.0</v>
      </c>
      <c r="B50" s="2">
        <v>2.0</v>
      </c>
      <c r="C50" s="2" t="s">
        <v>7</v>
      </c>
      <c r="D50" s="2" t="s">
        <v>8</v>
      </c>
      <c r="E50" s="2" t="s">
        <v>1336</v>
      </c>
      <c r="F50" s="2" t="s">
        <v>1337</v>
      </c>
      <c r="G50" s="2"/>
    </row>
    <row r="51">
      <c r="A51" s="2">
        <v>4.0</v>
      </c>
      <c r="B51" s="2">
        <v>2.0</v>
      </c>
      <c r="C51" s="2" t="s">
        <v>7</v>
      </c>
      <c r="D51" s="2" t="s">
        <v>8</v>
      </c>
      <c r="E51" s="2" t="s">
        <v>1338</v>
      </c>
      <c r="F51" s="2" t="s">
        <v>1339</v>
      </c>
      <c r="G51" s="2"/>
    </row>
    <row r="52">
      <c r="A52" s="2">
        <v>4.0</v>
      </c>
      <c r="B52" s="2">
        <v>3.0</v>
      </c>
      <c r="C52" s="2" t="s">
        <v>7</v>
      </c>
      <c r="D52" s="2" t="s">
        <v>8</v>
      </c>
      <c r="E52" s="2" t="s">
        <v>1340</v>
      </c>
      <c r="F52" s="2" t="s">
        <v>1341</v>
      </c>
      <c r="G52" s="2"/>
    </row>
    <row r="53">
      <c r="A53" s="2">
        <v>4.0</v>
      </c>
      <c r="B53" s="2">
        <v>3.0</v>
      </c>
      <c r="C53" s="2" t="s">
        <v>7</v>
      </c>
      <c r="D53" s="2" t="s">
        <v>19</v>
      </c>
      <c r="E53" s="2" t="s">
        <v>1342</v>
      </c>
      <c r="F53" s="2" t="s">
        <v>1343</v>
      </c>
      <c r="G53" s="2"/>
    </row>
    <row r="54">
      <c r="A54" s="2">
        <v>4.0</v>
      </c>
      <c r="B54" s="2">
        <v>4.0</v>
      </c>
      <c r="C54" s="2" t="s">
        <v>59</v>
      </c>
      <c r="D54" s="2" t="s">
        <v>8</v>
      </c>
      <c r="E54" s="2" t="s">
        <v>193</v>
      </c>
      <c r="F54" s="2" t="s">
        <v>1344</v>
      </c>
      <c r="G54" s="2"/>
    </row>
    <row r="55">
      <c r="A55" s="2">
        <v>4.0</v>
      </c>
      <c r="B55" s="2">
        <v>4.0</v>
      </c>
      <c r="C55" s="2" t="s">
        <v>59</v>
      </c>
      <c r="D55" s="2" t="s">
        <v>8</v>
      </c>
      <c r="E55" s="2" t="s">
        <v>1345</v>
      </c>
      <c r="F55" s="2" t="s">
        <v>1346</v>
      </c>
      <c r="G55" s="2"/>
    </row>
    <row r="56">
      <c r="A56" s="2">
        <v>4.0</v>
      </c>
      <c r="B56" s="2">
        <v>4.0</v>
      </c>
      <c r="C56" s="2" t="s">
        <v>59</v>
      </c>
      <c r="D56" s="2" t="s">
        <v>19</v>
      </c>
      <c r="E56" s="2" t="s">
        <v>1347</v>
      </c>
      <c r="F56" s="2" t="s">
        <v>1348</v>
      </c>
      <c r="G56" s="2"/>
    </row>
    <row r="57">
      <c r="A57" s="2">
        <v>4.0</v>
      </c>
      <c r="B57" s="2">
        <v>5.0</v>
      </c>
      <c r="C57" s="2" t="s">
        <v>28</v>
      </c>
      <c r="D57" s="2" t="s">
        <v>8</v>
      </c>
      <c r="E57" s="2" t="s">
        <v>1349</v>
      </c>
      <c r="F57" s="2" t="s">
        <v>1350</v>
      </c>
      <c r="G57" s="2"/>
    </row>
    <row r="58">
      <c r="A58" s="2">
        <v>4.0</v>
      </c>
      <c r="B58" s="2">
        <v>5.0</v>
      </c>
      <c r="C58" s="2" t="s">
        <v>28</v>
      </c>
      <c r="D58" s="2" t="s">
        <v>19</v>
      </c>
      <c r="E58" s="2" t="s">
        <v>1351</v>
      </c>
      <c r="F58" s="2" t="s">
        <v>1352</v>
      </c>
      <c r="G58" s="2"/>
    </row>
    <row r="59">
      <c r="A59" s="2">
        <v>4.0</v>
      </c>
      <c r="B59" s="2">
        <v>5.0</v>
      </c>
      <c r="C59" s="2" t="s">
        <v>28</v>
      </c>
      <c r="D59" s="2" t="s">
        <v>19</v>
      </c>
      <c r="E59" s="2" t="s">
        <v>1353</v>
      </c>
      <c r="F59" s="2" t="s">
        <v>1354</v>
      </c>
      <c r="G59" s="2"/>
    </row>
    <row r="60">
      <c r="A60" s="2">
        <v>4.0</v>
      </c>
      <c r="B60" s="2">
        <v>5.0</v>
      </c>
      <c r="C60" s="2" t="s">
        <v>28</v>
      </c>
      <c r="D60" s="2" t="s">
        <v>19</v>
      </c>
      <c r="E60" s="2" t="s">
        <v>1355</v>
      </c>
      <c r="F60" s="2" t="s">
        <v>1356</v>
      </c>
      <c r="G60" s="2"/>
    </row>
    <row r="61">
      <c r="A61" s="2">
        <v>4.0</v>
      </c>
      <c r="B61" s="2">
        <v>7.0</v>
      </c>
      <c r="C61" s="2" t="s">
        <v>40</v>
      </c>
      <c r="D61" s="2" t="s">
        <v>19</v>
      </c>
      <c r="E61" s="2" t="s">
        <v>1357</v>
      </c>
      <c r="F61" s="2" t="s">
        <v>1358</v>
      </c>
      <c r="G61" s="2"/>
    </row>
    <row r="62">
      <c r="A62" s="2">
        <v>4.0</v>
      </c>
      <c r="B62" s="2">
        <v>7.0</v>
      </c>
      <c r="C62" s="2" t="s">
        <v>40</v>
      </c>
      <c r="D62" s="2" t="s">
        <v>19</v>
      </c>
      <c r="E62" s="2" t="s">
        <v>1359</v>
      </c>
      <c r="F62" s="2" t="s">
        <v>1360</v>
      </c>
      <c r="G62" s="2"/>
    </row>
    <row r="63">
      <c r="A63" s="2">
        <v>4.0</v>
      </c>
      <c r="B63" s="2">
        <v>7.0</v>
      </c>
      <c r="C63" s="2" t="s">
        <v>40</v>
      </c>
      <c r="D63" s="2" t="s">
        <v>19</v>
      </c>
      <c r="E63" s="2" t="s">
        <v>1361</v>
      </c>
      <c r="F63" s="2" t="s">
        <v>1362</v>
      </c>
      <c r="G63" s="2"/>
    </row>
    <row r="64">
      <c r="A64" s="2">
        <v>4.0</v>
      </c>
      <c r="B64" s="2">
        <v>7.0</v>
      </c>
      <c r="C64" s="2" t="s">
        <v>40</v>
      </c>
      <c r="D64" s="2" t="s">
        <v>19</v>
      </c>
      <c r="E64" s="2" t="s">
        <v>1363</v>
      </c>
      <c r="F64" s="2" t="s">
        <v>1364</v>
      </c>
      <c r="G64" s="2"/>
    </row>
    <row r="65">
      <c r="A65" s="2">
        <v>4.0</v>
      </c>
      <c r="B65" s="2">
        <v>7.0</v>
      </c>
      <c r="C65" s="2" t="s">
        <v>40</v>
      </c>
      <c r="D65" s="2" t="s">
        <v>19</v>
      </c>
      <c r="E65" s="2" t="s">
        <v>1365</v>
      </c>
      <c r="F65" s="2" t="s">
        <v>1366</v>
      </c>
      <c r="G65" s="2"/>
    </row>
    <row r="66">
      <c r="A66" s="2">
        <v>4.0</v>
      </c>
      <c r="B66" s="2">
        <v>7.0</v>
      </c>
      <c r="C66" s="2" t="s">
        <v>40</v>
      </c>
      <c r="D66" s="2" t="s">
        <v>19</v>
      </c>
      <c r="E66" s="2" t="s">
        <v>1367</v>
      </c>
      <c r="F66" s="2" t="s">
        <v>1368</v>
      </c>
      <c r="G66" s="2"/>
    </row>
    <row r="67">
      <c r="A67" s="2">
        <v>4.0</v>
      </c>
      <c r="B67" s="2">
        <v>8.0</v>
      </c>
      <c r="C67" s="2" t="s">
        <v>40</v>
      </c>
      <c r="D67" s="2" t="s">
        <v>19</v>
      </c>
      <c r="E67" s="2" t="s">
        <v>1369</v>
      </c>
      <c r="F67" s="2" t="s">
        <v>1370</v>
      </c>
      <c r="G67" s="2"/>
    </row>
    <row r="68">
      <c r="A68" s="2">
        <v>4.0</v>
      </c>
      <c r="B68" s="2">
        <v>8.0</v>
      </c>
      <c r="C68" s="2" t="s">
        <v>40</v>
      </c>
      <c r="D68" s="2" t="s">
        <v>19</v>
      </c>
      <c r="E68" s="2" t="s">
        <v>1371</v>
      </c>
      <c r="F68" s="2" t="s">
        <v>1372</v>
      </c>
      <c r="G68" s="2"/>
    </row>
    <row r="69">
      <c r="A69" s="2">
        <v>4.0</v>
      </c>
      <c r="B69" s="2">
        <v>9.0</v>
      </c>
      <c r="C69" s="2" t="s">
        <v>33</v>
      </c>
      <c r="D69" s="2" t="s">
        <v>19</v>
      </c>
      <c r="E69" s="2" t="s">
        <v>1373</v>
      </c>
      <c r="F69" s="2" t="s">
        <v>1374</v>
      </c>
      <c r="G69" s="2"/>
    </row>
    <row r="70">
      <c r="A70" s="2">
        <v>4.0</v>
      </c>
      <c r="B70" s="2">
        <v>9.0</v>
      </c>
      <c r="C70" s="2" t="s">
        <v>33</v>
      </c>
      <c r="D70" s="2" t="s">
        <v>19</v>
      </c>
      <c r="E70" s="2" t="s">
        <v>1375</v>
      </c>
      <c r="F70" s="2" t="s">
        <v>1376</v>
      </c>
      <c r="G70" s="2"/>
    </row>
    <row r="71">
      <c r="A71" s="2">
        <v>4.0</v>
      </c>
      <c r="B71" s="2">
        <v>9.0</v>
      </c>
      <c r="C71" s="2" t="s">
        <v>33</v>
      </c>
      <c r="D71" s="2" t="s">
        <v>19</v>
      </c>
      <c r="E71" s="2" t="s">
        <v>1377</v>
      </c>
      <c r="F71" s="2" t="s">
        <v>1378</v>
      </c>
      <c r="G71" s="2"/>
    </row>
    <row r="72">
      <c r="A72" s="2">
        <v>4.0</v>
      </c>
      <c r="B72" s="2">
        <v>9.0</v>
      </c>
      <c r="C72" s="2" t="s">
        <v>33</v>
      </c>
      <c r="D72" s="2" t="s">
        <v>19</v>
      </c>
      <c r="E72" s="2" t="s">
        <v>249</v>
      </c>
      <c r="F72" s="2" t="s">
        <v>1379</v>
      </c>
      <c r="G72" s="2"/>
    </row>
    <row r="73">
      <c r="A73" s="2">
        <v>4.0</v>
      </c>
      <c r="B73" s="2">
        <v>10.0</v>
      </c>
      <c r="C73" s="2" t="s">
        <v>54</v>
      </c>
      <c r="D73" s="2" t="s">
        <v>19</v>
      </c>
      <c r="E73" s="2" t="s">
        <v>1380</v>
      </c>
      <c r="F73" s="2" t="s">
        <v>1381</v>
      </c>
      <c r="G73" s="2"/>
    </row>
    <row r="74">
      <c r="A74" s="2">
        <v>4.0</v>
      </c>
      <c r="B74" s="2">
        <v>10.0</v>
      </c>
      <c r="C74" s="2" t="s">
        <v>54</v>
      </c>
      <c r="D74" s="2" t="s">
        <v>19</v>
      </c>
      <c r="E74" s="2" t="s">
        <v>1382</v>
      </c>
      <c r="F74" s="2" t="s">
        <v>1383</v>
      </c>
      <c r="G74" s="2"/>
    </row>
    <row r="75">
      <c r="A75" s="2">
        <v>4.0</v>
      </c>
      <c r="B75" s="2">
        <v>10.0</v>
      </c>
      <c r="C75" s="2" t="s">
        <v>54</v>
      </c>
      <c r="D75" s="2" t="s">
        <v>19</v>
      </c>
      <c r="E75" s="2" t="s">
        <v>1384</v>
      </c>
      <c r="F75" s="2" t="s">
        <v>1385</v>
      </c>
      <c r="G75" s="2"/>
    </row>
    <row r="76">
      <c r="A76" s="2">
        <v>4.0</v>
      </c>
      <c r="B76" s="2">
        <v>10.0</v>
      </c>
      <c r="C76" s="2" t="s">
        <v>54</v>
      </c>
      <c r="D76" s="2" t="s">
        <v>19</v>
      </c>
      <c r="E76" s="2" t="s">
        <v>1386</v>
      </c>
      <c r="F76" s="2" t="s">
        <v>1387</v>
      </c>
      <c r="G76" s="2"/>
    </row>
    <row r="77">
      <c r="A77" s="2">
        <v>4.0</v>
      </c>
      <c r="B77" s="2">
        <v>12.0</v>
      </c>
      <c r="C77" s="30" t="s">
        <v>176</v>
      </c>
      <c r="D77" s="2" t="s">
        <v>8</v>
      </c>
      <c r="E77" s="2" t="s">
        <v>1388</v>
      </c>
      <c r="F77" s="2" t="s">
        <v>1389</v>
      </c>
      <c r="G77" s="2"/>
    </row>
    <row r="78">
      <c r="A78" s="2">
        <v>4.0</v>
      </c>
      <c r="B78" s="2">
        <v>12.0</v>
      </c>
      <c r="C78" s="30" t="s">
        <v>176</v>
      </c>
      <c r="D78" s="2" t="s">
        <v>8</v>
      </c>
      <c r="E78" s="2" t="s">
        <v>1390</v>
      </c>
      <c r="F78" s="2" t="s">
        <v>1391</v>
      </c>
      <c r="G78" s="2"/>
    </row>
    <row r="79">
      <c r="A79" s="2">
        <v>5.0</v>
      </c>
      <c r="B79" s="2">
        <v>2.0</v>
      </c>
      <c r="C79" s="2" t="s">
        <v>7</v>
      </c>
      <c r="D79" s="2" t="s">
        <v>19</v>
      </c>
      <c r="E79" s="2" t="s">
        <v>1392</v>
      </c>
      <c r="F79" s="2" t="s">
        <v>1393</v>
      </c>
      <c r="G79" s="2"/>
    </row>
    <row r="80">
      <c r="A80" s="2">
        <v>5.0</v>
      </c>
      <c r="B80" s="2">
        <v>2.0</v>
      </c>
      <c r="C80" s="2" t="s">
        <v>7</v>
      </c>
      <c r="D80" s="2" t="s">
        <v>8</v>
      </c>
      <c r="E80" s="2" t="s">
        <v>1394</v>
      </c>
      <c r="F80" s="2" t="s">
        <v>1395</v>
      </c>
      <c r="G80" s="2"/>
    </row>
    <row r="81">
      <c r="A81" s="2">
        <v>5.0</v>
      </c>
      <c r="B81" s="2">
        <v>2.0</v>
      </c>
      <c r="C81" s="2" t="s">
        <v>7</v>
      </c>
      <c r="D81" s="2" t="s">
        <v>19</v>
      </c>
      <c r="E81" s="2" t="s">
        <v>1396</v>
      </c>
      <c r="F81" s="2" t="s">
        <v>1397</v>
      </c>
      <c r="G81" s="2"/>
    </row>
    <row r="82">
      <c r="A82" s="2">
        <v>5.0</v>
      </c>
      <c r="B82" s="2">
        <v>2.0</v>
      </c>
      <c r="C82" s="2" t="s">
        <v>7</v>
      </c>
      <c r="D82" s="2" t="s">
        <v>8</v>
      </c>
      <c r="E82" s="2" t="s">
        <v>1398</v>
      </c>
      <c r="F82" s="2" t="s">
        <v>1399</v>
      </c>
      <c r="G82" s="2"/>
    </row>
    <row r="83">
      <c r="A83" s="2">
        <v>5.0</v>
      </c>
      <c r="B83" s="2">
        <v>3.0</v>
      </c>
      <c r="C83" s="2" t="s">
        <v>7</v>
      </c>
      <c r="D83" s="2" t="s">
        <v>8</v>
      </c>
      <c r="E83" s="2" t="s">
        <v>1400</v>
      </c>
      <c r="F83" s="2" t="s">
        <v>1401</v>
      </c>
      <c r="G83" s="2"/>
    </row>
    <row r="84">
      <c r="A84" s="2">
        <v>5.0</v>
      </c>
      <c r="B84" s="2">
        <v>3.0</v>
      </c>
      <c r="C84" s="2" t="s">
        <v>7</v>
      </c>
      <c r="D84" s="2" t="s">
        <v>8</v>
      </c>
      <c r="E84" s="2" t="s">
        <v>1402</v>
      </c>
      <c r="F84" s="2" t="s">
        <v>1403</v>
      </c>
      <c r="G84" s="2"/>
    </row>
    <row r="85">
      <c r="A85" s="2">
        <v>5.0</v>
      </c>
      <c r="B85" s="2">
        <v>3.0</v>
      </c>
      <c r="C85" s="2" t="s">
        <v>7</v>
      </c>
      <c r="D85" s="2" t="s">
        <v>19</v>
      </c>
      <c r="E85" s="2" t="s">
        <v>1404</v>
      </c>
      <c r="F85" s="2" t="s">
        <v>1405</v>
      </c>
      <c r="G85" s="2"/>
    </row>
    <row r="86">
      <c r="A86" s="2">
        <v>5.0</v>
      </c>
      <c r="B86" s="2">
        <v>4.0</v>
      </c>
      <c r="C86" s="2" t="s">
        <v>7</v>
      </c>
      <c r="D86" s="2" t="s">
        <v>19</v>
      </c>
      <c r="E86" s="2" t="s">
        <v>1406</v>
      </c>
      <c r="F86" s="2" t="s">
        <v>1407</v>
      </c>
      <c r="G86" s="2"/>
    </row>
    <row r="87">
      <c r="A87" s="2">
        <v>5.0</v>
      </c>
      <c r="B87" s="2">
        <v>5.0</v>
      </c>
      <c r="C87" s="2" t="s">
        <v>7</v>
      </c>
      <c r="D87" s="2" t="s">
        <v>8</v>
      </c>
      <c r="E87" s="2" t="s">
        <v>1408</v>
      </c>
      <c r="F87" s="2" t="s">
        <v>1409</v>
      </c>
      <c r="G87" s="2"/>
    </row>
    <row r="88">
      <c r="A88" s="2">
        <v>5.0</v>
      </c>
      <c r="B88" s="2">
        <v>5.0</v>
      </c>
      <c r="C88" s="2" t="s">
        <v>7</v>
      </c>
      <c r="D88" s="2" t="s">
        <v>8</v>
      </c>
      <c r="E88" s="2" t="s">
        <v>1410</v>
      </c>
      <c r="F88" s="2" t="s">
        <v>1411</v>
      </c>
      <c r="G88" s="2"/>
    </row>
    <row r="89">
      <c r="A89" s="2">
        <v>5.0</v>
      </c>
      <c r="B89" s="2">
        <v>7.0</v>
      </c>
      <c r="C89" s="2" t="s">
        <v>59</v>
      </c>
      <c r="D89" s="2" t="s">
        <v>19</v>
      </c>
      <c r="E89" s="2" t="s">
        <v>1412</v>
      </c>
      <c r="F89" s="2" t="s">
        <v>1413</v>
      </c>
      <c r="G89" s="2"/>
    </row>
    <row r="90">
      <c r="A90" s="2">
        <v>5.0</v>
      </c>
      <c r="B90" s="2">
        <v>7.0</v>
      </c>
      <c r="C90" s="2" t="s">
        <v>59</v>
      </c>
      <c r="D90" s="2" t="s">
        <v>8</v>
      </c>
      <c r="E90" s="2" t="s">
        <v>1414</v>
      </c>
      <c r="F90" s="2" t="s">
        <v>1415</v>
      </c>
      <c r="G90" s="2"/>
    </row>
    <row r="91">
      <c r="A91" s="2">
        <v>5.0</v>
      </c>
      <c r="B91" s="2">
        <v>8.0</v>
      </c>
      <c r="C91" s="2" t="s">
        <v>28</v>
      </c>
      <c r="D91" s="2" t="s">
        <v>19</v>
      </c>
      <c r="E91" s="2" t="s">
        <v>1416</v>
      </c>
      <c r="F91" s="2" t="s">
        <v>1417</v>
      </c>
      <c r="G91" s="2"/>
    </row>
    <row r="92">
      <c r="A92" s="2">
        <v>5.0</v>
      </c>
      <c r="B92" s="2">
        <v>9.0</v>
      </c>
      <c r="C92" s="2" t="s">
        <v>47</v>
      </c>
      <c r="D92" s="2" t="s">
        <v>8</v>
      </c>
      <c r="E92" s="2" t="s">
        <v>1418</v>
      </c>
      <c r="F92" s="2" t="s">
        <v>1419</v>
      </c>
      <c r="G92" s="2"/>
    </row>
    <row r="93">
      <c r="A93" s="2">
        <v>5.0</v>
      </c>
      <c r="B93" s="2">
        <v>9.0</v>
      </c>
      <c r="C93" s="2" t="s">
        <v>47</v>
      </c>
      <c r="D93" s="2" t="s">
        <v>8</v>
      </c>
      <c r="E93" s="2" t="s">
        <v>1420</v>
      </c>
      <c r="F93" s="2" t="s">
        <v>1421</v>
      </c>
      <c r="G93" s="2"/>
    </row>
    <row r="94">
      <c r="A94" s="2">
        <v>5.0</v>
      </c>
      <c r="B94" s="2">
        <v>10.0</v>
      </c>
      <c r="C94" s="2" t="s">
        <v>47</v>
      </c>
      <c r="D94" s="2" t="s">
        <v>19</v>
      </c>
      <c r="E94" s="2" t="s">
        <v>1422</v>
      </c>
      <c r="F94" s="2" t="s">
        <v>1423</v>
      </c>
      <c r="G94" s="2"/>
    </row>
    <row r="95">
      <c r="A95" s="2">
        <v>5.0</v>
      </c>
      <c r="B95" s="2">
        <v>12.0</v>
      </c>
      <c r="C95" s="2" t="s">
        <v>33</v>
      </c>
      <c r="D95" s="2" t="s">
        <v>19</v>
      </c>
      <c r="E95" s="2" t="s">
        <v>1424</v>
      </c>
      <c r="F95" s="2" t="s">
        <v>1425</v>
      </c>
      <c r="G95" s="2"/>
    </row>
    <row r="96">
      <c r="A96" s="2">
        <v>5.0</v>
      </c>
      <c r="B96" s="2">
        <v>12.0</v>
      </c>
      <c r="C96" s="2" t="s">
        <v>33</v>
      </c>
      <c r="D96" s="2" t="s">
        <v>19</v>
      </c>
      <c r="E96" s="2" t="s">
        <v>1426</v>
      </c>
      <c r="F96" s="2" t="s">
        <v>1427</v>
      </c>
      <c r="G96" s="2"/>
    </row>
    <row r="97">
      <c r="A97" s="2">
        <v>5.0</v>
      </c>
      <c r="B97" s="2">
        <v>13.0</v>
      </c>
      <c r="C97" s="2" t="s">
        <v>54</v>
      </c>
      <c r="D97" s="2" t="s">
        <v>8</v>
      </c>
      <c r="E97" s="2" t="s">
        <v>1428</v>
      </c>
      <c r="F97" s="2" t="s">
        <v>1429</v>
      </c>
      <c r="G97" s="2"/>
    </row>
    <row r="98">
      <c r="A98" s="2">
        <v>5.0</v>
      </c>
      <c r="B98" s="2">
        <v>13.0</v>
      </c>
      <c r="C98" s="2" t="s">
        <v>54</v>
      </c>
      <c r="D98" s="2" t="s">
        <v>19</v>
      </c>
      <c r="E98" s="2" t="s">
        <v>1430</v>
      </c>
      <c r="F98" s="2" t="s">
        <v>1431</v>
      </c>
      <c r="G98" s="2"/>
    </row>
    <row r="99">
      <c r="A99" s="2">
        <v>5.0</v>
      </c>
      <c r="B99" s="2">
        <v>14.0</v>
      </c>
      <c r="C99" s="2" t="s">
        <v>72</v>
      </c>
      <c r="D99" s="2" t="s">
        <v>8</v>
      </c>
      <c r="E99" s="2" t="s">
        <v>1432</v>
      </c>
      <c r="F99" s="2" t="s">
        <v>1433</v>
      </c>
      <c r="G99" s="2"/>
    </row>
    <row r="100">
      <c r="A100" s="2">
        <v>6.0</v>
      </c>
      <c r="B100" s="2">
        <v>2.0</v>
      </c>
      <c r="C100" s="21" t="s">
        <v>28</v>
      </c>
      <c r="D100" s="2" t="s">
        <v>8</v>
      </c>
      <c r="E100" s="2" t="s">
        <v>1434</v>
      </c>
      <c r="F100" s="2" t="s">
        <v>1435</v>
      </c>
      <c r="G100" s="2"/>
    </row>
    <row r="101">
      <c r="A101" s="2">
        <v>6.0</v>
      </c>
      <c r="B101" s="2">
        <v>2.0</v>
      </c>
      <c r="C101" s="21" t="s">
        <v>28</v>
      </c>
      <c r="D101" s="2" t="s">
        <v>8</v>
      </c>
      <c r="E101" s="2" t="s">
        <v>1436</v>
      </c>
      <c r="F101" s="2" t="s">
        <v>1437</v>
      </c>
      <c r="G101" s="2"/>
    </row>
    <row r="102">
      <c r="A102" s="2">
        <v>6.0</v>
      </c>
      <c r="B102" s="2">
        <v>2.0</v>
      </c>
      <c r="C102" s="21" t="s">
        <v>28</v>
      </c>
      <c r="D102" s="2" t="s">
        <v>8</v>
      </c>
      <c r="E102" s="2" t="s">
        <v>1438</v>
      </c>
      <c r="F102" s="2" t="s">
        <v>1439</v>
      </c>
      <c r="G102" s="2"/>
    </row>
    <row r="103">
      <c r="A103" s="2">
        <v>6.0</v>
      </c>
      <c r="B103" s="2">
        <v>3.0</v>
      </c>
      <c r="C103" s="21" t="s">
        <v>47</v>
      </c>
      <c r="D103" s="2" t="s">
        <v>8</v>
      </c>
      <c r="E103" s="2" t="s">
        <v>1440</v>
      </c>
      <c r="F103" s="2" t="s">
        <v>1441</v>
      </c>
      <c r="G103" s="2"/>
    </row>
    <row r="104">
      <c r="A104" s="2">
        <v>6.0</v>
      </c>
      <c r="B104" s="2">
        <v>3.0</v>
      </c>
      <c r="C104" s="21" t="s">
        <v>47</v>
      </c>
      <c r="D104" s="2" t="s">
        <v>19</v>
      </c>
      <c r="E104" s="2" t="s">
        <v>1442</v>
      </c>
      <c r="F104" s="2" t="s">
        <v>1443</v>
      </c>
      <c r="G104" s="2"/>
    </row>
    <row r="105">
      <c r="A105" s="2">
        <v>6.0</v>
      </c>
      <c r="B105" s="2">
        <v>3.0</v>
      </c>
      <c r="C105" s="21" t="s">
        <v>47</v>
      </c>
      <c r="D105" s="2" t="s">
        <v>19</v>
      </c>
      <c r="E105" s="2" t="s">
        <v>1444</v>
      </c>
      <c r="F105" s="2" t="s">
        <v>1445</v>
      </c>
      <c r="G105" s="2"/>
    </row>
    <row r="106">
      <c r="A106" s="2">
        <v>6.0</v>
      </c>
      <c r="B106" s="2">
        <v>3.0</v>
      </c>
      <c r="C106" s="21" t="s">
        <v>47</v>
      </c>
      <c r="D106" s="2" t="s">
        <v>19</v>
      </c>
      <c r="E106" s="2" t="s">
        <v>1446</v>
      </c>
      <c r="F106" s="2" t="s">
        <v>1447</v>
      </c>
      <c r="G106" s="2"/>
    </row>
    <row r="107">
      <c r="A107" s="2">
        <v>6.0</v>
      </c>
      <c r="B107" s="2">
        <v>4.0</v>
      </c>
      <c r="C107" s="21" t="s">
        <v>47</v>
      </c>
      <c r="D107" s="2" t="s">
        <v>19</v>
      </c>
      <c r="E107" s="2" t="s">
        <v>1448</v>
      </c>
      <c r="F107" s="2" t="s">
        <v>1449</v>
      </c>
      <c r="G107" s="2"/>
    </row>
    <row r="108">
      <c r="A108" s="2">
        <v>6.0</v>
      </c>
      <c r="B108" s="2">
        <v>5.0</v>
      </c>
      <c r="C108" s="21" t="s">
        <v>40</v>
      </c>
      <c r="D108" s="2" t="s">
        <v>8</v>
      </c>
      <c r="E108" s="2" t="s">
        <v>1450</v>
      </c>
      <c r="F108" s="2" t="s">
        <v>1451</v>
      </c>
      <c r="G108" s="2"/>
    </row>
    <row r="109">
      <c r="A109" s="2">
        <v>6.0</v>
      </c>
      <c r="B109" s="2">
        <v>5.0</v>
      </c>
      <c r="C109" s="21" t="s">
        <v>40</v>
      </c>
      <c r="D109" s="2" t="s">
        <v>19</v>
      </c>
      <c r="E109" s="2" t="s">
        <v>1452</v>
      </c>
      <c r="F109" s="2" t="s">
        <v>1453</v>
      </c>
      <c r="G109" s="2"/>
    </row>
    <row r="110">
      <c r="A110" s="2">
        <v>6.0</v>
      </c>
      <c r="B110" s="2">
        <v>5.0</v>
      </c>
      <c r="C110" s="21" t="s">
        <v>40</v>
      </c>
      <c r="D110" s="2" t="s">
        <v>19</v>
      </c>
      <c r="E110" s="2" t="s">
        <v>1454</v>
      </c>
      <c r="F110" s="2" t="s">
        <v>1455</v>
      </c>
      <c r="G110" s="2"/>
    </row>
    <row r="111">
      <c r="A111" s="2">
        <v>6.0</v>
      </c>
      <c r="B111" s="2">
        <v>5.0</v>
      </c>
      <c r="C111" s="21" t="s">
        <v>40</v>
      </c>
      <c r="D111" s="2" t="s">
        <v>19</v>
      </c>
      <c r="E111" s="2" t="s">
        <v>1456</v>
      </c>
      <c r="F111" s="2" t="s">
        <v>1457</v>
      </c>
      <c r="G111" s="2"/>
    </row>
    <row r="112">
      <c r="A112" s="2">
        <v>6.0</v>
      </c>
      <c r="B112" s="2">
        <v>7.0</v>
      </c>
      <c r="C112" s="21" t="s">
        <v>54</v>
      </c>
      <c r="D112" s="2" t="s">
        <v>19</v>
      </c>
      <c r="E112" s="2" t="s">
        <v>1458</v>
      </c>
      <c r="F112" s="2" t="s">
        <v>1459</v>
      </c>
      <c r="G112" s="2"/>
    </row>
    <row r="113">
      <c r="A113" s="2">
        <v>6.0</v>
      </c>
      <c r="B113" s="2">
        <v>7.0</v>
      </c>
      <c r="C113" s="21" t="s">
        <v>54</v>
      </c>
      <c r="D113" s="2" t="s">
        <v>8</v>
      </c>
      <c r="E113" s="2" t="s">
        <v>1460</v>
      </c>
      <c r="F113" s="2" t="s">
        <v>1461</v>
      </c>
      <c r="G113" s="2"/>
    </row>
    <row r="114">
      <c r="A114" s="2">
        <v>6.0</v>
      </c>
      <c r="B114" s="2">
        <v>8.0</v>
      </c>
      <c r="C114" s="21" t="s">
        <v>72</v>
      </c>
      <c r="D114" s="2" t="s">
        <v>8</v>
      </c>
      <c r="E114" s="2" t="s">
        <v>1462</v>
      </c>
      <c r="F114" s="2" t="s">
        <v>1463</v>
      </c>
      <c r="G114" s="2"/>
    </row>
    <row r="115">
      <c r="A115" s="2">
        <v>6.0</v>
      </c>
      <c r="B115" s="2">
        <v>8.0</v>
      </c>
      <c r="C115" s="21" t="s">
        <v>72</v>
      </c>
      <c r="D115" s="2" t="s">
        <v>19</v>
      </c>
      <c r="E115" s="2" t="s">
        <v>1464</v>
      </c>
      <c r="F115" s="2" t="s">
        <v>1465</v>
      </c>
      <c r="G115" s="2"/>
    </row>
    <row r="116">
      <c r="A116" s="2">
        <v>6.0</v>
      </c>
      <c r="B116" s="2">
        <v>8.0</v>
      </c>
      <c r="C116" s="21" t="s">
        <v>72</v>
      </c>
      <c r="D116" s="2" t="s">
        <v>8</v>
      </c>
      <c r="E116" s="2" t="s">
        <v>1466</v>
      </c>
      <c r="F116" s="2" t="s">
        <v>1467</v>
      </c>
      <c r="G116" s="2"/>
    </row>
    <row r="117">
      <c r="A117" s="2">
        <v>6.0</v>
      </c>
      <c r="B117" s="2">
        <v>8.0</v>
      </c>
      <c r="C117" s="21" t="s">
        <v>72</v>
      </c>
      <c r="D117" s="2" t="s">
        <v>19</v>
      </c>
      <c r="E117" s="2" t="s">
        <v>1468</v>
      </c>
      <c r="F117" s="2" t="s">
        <v>1469</v>
      </c>
      <c r="G117" s="2"/>
    </row>
    <row r="118">
      <c r="A118" s="2">
        <v>7.0</v>
      </c>
      <c r="B118" s="2">
        <v>2.0</v>
      </c>
      <c r="C118" s="21" t="s">
        <v>59</v>
      </c>
      <c r="D118" s="2" t="s">
        <v>8</v>
      </c>
      <c r="E118" s="2" t="s">
        <v>1470</v>
      </c>
      <c r="F118" s="2" t="s">
        <v>1471</v>
      </c>
      <c r="G118" s="2"/>
    </row>
    <row r="119">
      <c r="A119" s="2">
        <v>7.0</v>
      </c>
      <c r="B119" s="2">
        <v>2.0</v>
      </c>
      <c r="C119" s="21" t="s">
        <v>59</v>
      </c>
      <c r="D119" s="2" t="s">
        <v>19</v>
      </c>
      <c r="E119" s="2" t="s">
        <v>1472</v>
      </c>
      <c r="F119" s="2" t="s">
        <v>1473</v>
      </c>
      <c r="G119" s="2"/>
    </row>
    <row r="120">
      <c r="A120" s="2">
        <v>7.0</v>
      </c>
      <c r="B120" s="2">
        <v>3.0</v>
      </c>
      <c r="C120" s="2" t="s">
        <v>28</v>
      </c>
      <c r="D120" s="2" t="s">
        <v>19</v>
      </c>
      <c r="E120" s="2" t="s">
        <v>1474</v>
      </c>
      <c r="F120" s="2" t="s">
        <v>1475</v>
      </c>
      <c r="G120" s="2"/>
    </row>
    <row r="121">
      <c r="A121" s="2">
        <v>7.0</v>
      </c>
      <c r="B121" s="2">
        <v>3.0</v>
      </c>
      <c r="C121" s="2" t="s">
        <v>28</v>
      </c>
      <c r="D121" s="2" t="s">
        <v>19</v>
      </c>
      <c r="E121" s="2" t="s">
        <v>1476</v>
      </c>
      <c r="F121" s="2" t="s">
        <v>1477</v>
      </c>
      <c r="G121" s="2"/>
    </row>
    <row r="122">
      <c r="A122" s="2">
        <v>7.0</v>
      </c>
      <c r="B122" s="2">
        <v>3.0</v>
      </c>
      <c r="C122" s="2" t="s">
        <v>28</v>
      </c>
      <c r="D122" s="2" t="s">
        <v>8</v>
      </c>
      <c r="E122" s="2" t="s">
        <v>1478</v>
      </c>
      <c r="F122" s="2" t="s">
        <v>1479</v>
      </c>
      <c r="G122" s="2"/>
    </row>
    <row r="123">
      <c r="A123" s="2">
        <v>7.0</v>
      </c>
      <c r="B123" s="2">
        <v>3.0</v>
      </c>
      <c r="C123" s="2" t="s">
        <v>28</v>
      </c>
      <c r="D123" s="2" t="s">
        <v>19</v>
      </c>
      <c r="E123" s="2" t="s">
        <v>1480</v>
      </c>
      <c r="F123" s="2" t="s">
        <v>1481</v>
      </c>
      <c r="G123" s="2"/>
    </row>
    <row r="124">
      <c r="A124" s="2">
        <v>7.0</v>
      </c>
      <c r="B124" s="2">
        <v>4.0</v>
      </c>
      <c r="C124" s="21" t="s">
        <v>47</v>
      </c>
      <c r="D124" s="2" t="s">
        <v>8</v>
      </c>
      <c r="E124" s="2" t="s">
        <v>1482</v>
      </c>
      <c r="F124" s="2" t="s">
        <v>1419</v>
      </c>
      <c r="G124" s="2"/>
    </row>
    <row r="125">
      <c r="A125" s="2">
        <v>7.0</v>
      </c>
      <c r="B125" s="2">
        <v>4.0</v>
      </c>
      <c r="C125" s="21" t="s">
        <v>47</v>
      </c>
      <c r="D125" s="2" t="s">
        <v>8</v>
      </c>
      <c r="E125" s="2" t="s">
        <v>1483</v>
      </c>
      <c r="F125" s="2" t="s">
        <v>1484</v>
      </c>
      <c r="G125" s="2"/>
    </row>
    <row r="126">
      <c r="A126" s="2">
        <v>7.0</v>
      </c>
      <c r="B126" s="2">
        <v>4.0</v>
      </c>
      <c r="C126" s="21" t="s">
        <v>47</v>
      </c>
      <c r="D126" s="2" t="s">
        <v>19</v>
      </c>
      <c r="E126" s="2" t="s">
        <v>1485</v>
      </c>
      <c r="F126" s="2" t="s">
        <v>1486</v>
      </c>
      <c r="G126" s="2"/>
    </row>
    <row r="127">
      <c r="A127" s="2">
        <v>7.0</v>
      </c>
      <c r="B127" s="2">
        <v>4.0</v>
      </c>
      <c r="C127" s="21" t="s">
        <v>47</v>
      </c>
      <c r="D127" s="2" t="s">
        <v>19</v>
      </c>
      <c r="E127" s="2" t="s">
        <v>1487</v>
      </c>
      <c r="F127" s="2" t="s">
        <v>1488</v>
      </c>
      <c r="G127" s="2"/>
    </row>
    <row r="128">
      <c r="A128" s="2">
        <v>7.0</v>
      </c>
      <c r="B128" s="2">
        <v>5.0</v>
      </c>
      <c r="C128" s="21" t="s">
        <v>40</v>
      </c>
      <c r="D128" s="2" t="s">
        <v>19</v>
      </c>
      <c r="E128" s="2" t="s">
        <v>1489</v>
      </c>
      <c r="F128" s="2" t="s">
        <v>1490</v>
      </c>
      <c r="G128" s="2"/>
    </row>
    <row r="129">
      <c r="A129" s="2">
        <v>7.0</v>
      </c>
      <c r="B129" s="2">
        <v>5.0</v>
      </c>
      <c r="C129" s="21" t="s">
        <v>40</v>
      </c>
      <c r="D129" s="2" t="s">
        <v>19</v>
      </c>
      <c r="E129" s="2" t="s">
        <v>1491</v>
      </c>
      <c r="F129" s="2" t="s">
        <v>1492</v>
      </c>
      <c r="G129" s="2"/>
    </row>
    <row r="130">
      <c r="A130" s="2">
        <v>7.0</v>
      </c>
      <c r="B130" s="2">
        <v>7.0</v>
      </c>
      <c r="C130" s="21" t="s">
        <v>54</v>
      </c>
      <c r="D130" s="2" t="s">
        <v>19</v>
      </c>
      <c r="E130" s="2" t="s">
        <v>1493</v>
      </c>
      <c r="F130" s="2" t="s">
        <v>1494</v>
      </c>
      <c r="G130" s="2"/>
    </row>
    <row r="131">
      <c r="A131" s="2">
        <v>7.0</v>
      </c>
      <c r="B131" s="2">
        <v>8.0</v>
      </c>
      <c r="C131" s="21" t="s">
        <v>72</v>
      </c>
      <c r="D131" s="2" t="s">
        <v>19</v>
      </c>
      <c r="E131" s="2" t="s">
        <v>1495</v>
      </c>
      <c r="F131" s="2" t="s">
        <v>1496</v>
      </c>
      <c r="G131" s="2"/>
    </row>
    <row r="132">
      <c r="A132" s="2">
        <v>7.0</v>
      </c>
      <c r="B132" s="2">
        <v>8.0</v>
      </c>
      <c r="C132" s="21" t="s">
        <v>72</v>
      </c>
      <c r="D132" s="2" t="s">
        <v>19</v>
      </c>
      <c r="E132" s="2" t="s">
        <v>1497</v>
      </c>
      <c r="F132" s="2" t="s">
        <v>1498</v>
      </c>
      <c r="G132" s="2"/>
    </row>
    <row r="133">
      <c r="A133" s="2">
        <v>7.0</v>
      </c>
      <c r="B133" s="2">
        <v>8.0</v>
      </c>
      <c r="C133" s="21" t="s">
        <v>72</v>
      </c>
      <c r="D133" s="2" t="s">
        <v>8</v>
      </c>
      <c r="E133" s="2" t="s">
        <v>1499</v>
      </c>
      <c r="F133" s="2" t="s">
        <v>1500</v>
      </c>
      <c r="G133" s="2"/>
    </row>
    <row r="134">
      <c r="A134" s="2">
        <v>7.0</v>
      </c>
      <c r="B134" s="2">
        <v>9.0</v>
      </c>
      <c r="C134" s="2" t="s">
        <v>176</v>
      </c>
      <c r="D134" s="2" t="s">
        <v>8</v>
      </c>
      <c r="E134" s="2" t="s">
        <v>1501</v>
      </c>
      <c r="F134" s="2" t="s">
        <v>1502</v>
      </c>
      <c r="G134" s="2"/>
    </row>
    <row r="135">
      <c r="A135" s="2">
        <v>7.0</v>
      </c>
      <c r="B135" s="2">
        <v>9.0</v>
      </c>
      <c r="C135" s="2" t="s">
        <v>176</v>
      </c>
      <c r="D135" s="2" t="s">
        <v>8</v>
      </c>
      <c r="E135" s="2" t="s">
        <v>1503</v>
      </c>
      <c r="F135" s="2" t="s">
        <v>1504</v>
      </c>
      <c r="G135" s="2"/>
    </row>
    <row r="136">
      <c r="A136" s="2">
        <v>8.0</v>
      </c>
      <c r="B136" s="2">
        <v>2.0</v>
      </c>
      <c r="C136" s="12" t="s">
        <v>451</v>
      </c>
      <c r="D136" s="2" t="s">
        <v>19</v>
      </c>
      <c r="E136" s="2" t="s">
        <v>1505</v>
      </c>
      <c r="F136" s="2" t="s">
        <v>1506</v>
      </c>
      <c r="G136" s="2"/>
    </row>
    <row r="137">
      <c r="A137" s="2">
        <v>8.0</v>
      </c>
      <c r="B137" s="2">
        <v>2.0</v>
      </c>
      <c r="C137" s="12" t="s">
        <v>451</v>
      </c>
      <c r="D137" s="2" t="s">
        <v>19</v>
      </c>
      <c r="E137" s="2" t="s">
        <v>1507</v>
      </c>
      <c r="F137" s="2" t="s">
        <v>1508</v>
      </c>
      <c r="G137" s="2"/>
    </row>
    <row r="138">
      <c r="A138" s="2">
        <v>8.0</v>
      </c>
      <c r="B138" s="2">
        <v>2.0</v>
      </c>
      <c r="C138" s="12" t="s">
        <v>451</v>
      </c>
      <c r="D138" s="2" t="s">
        <v>19</v>
      </c>
      <c r="E138" s="2" t="s">
        <v>1509</v>
      </c>
      <c r="F138" s="2" t="s">
        <v>1510</v>
      </c>
      <c r="G138" s="2"/>
    </row>
    <row r="139">
      <c r="A139" s="2">
        <v>8.0</v>
      </c>
      <c r="B139" s="2">
        <v>3.0</v>
      </c>
      <c r="C139" s="12" t="s">
        <v>451</v>
      </c>
      <c r="D139" s="2" t="s">
        <v>19</v>
      </c>
      <c r="E139" s="2" t="s">
        <v>1511</v>
      </c>
      <c r="F139" s="2" t="s">
        <v>1512</v>
      </c>
      <c r="G139" s="2"/>
    </row>
    <row r="140">
      <c r="A140" s="2">
        <v>8.0</v>
      </c>
      <c r="B140" s="2">
        <v>3.0</v>
      </c>
      <c r="C140" s="12" t="s">
        <v>451</v>
      </c>
      <c r="D140" s="2" t="s">
        <v>19</v>
      </c>
      <c r="E140" s="2" t="s">
        <v>1513</v>
      </c>
      <c r="F140" s="2" t="s">
        <v>1514</v>
      </c>
      <c r="G140" s="2"/>
    </row>
    <row r="141">
      <c r="A141" s="2">
        <v>8.0</v>
      </c>
      <c r="B141" s="2">
        <v>3.0</v>
      </c>
      <c r="C141" s="12" t="s">
        <v>451</v>
      </c>
      <c r="D141" s="2" t="s">
        <v>19</v>
      </c>
      <c r="E141" s="2" t="s">
        <v>1515</v>
      </c>
      <c r="F141" s="2" t="s">
        <v>1516</v>
      </c>
      <c r="G141" s="2"/>
    </row>
    <row r="142">
      <c r="A142" s="2">
        <v>8.0</v>
      </c>
      <c r="B142" s="2">
        <v>3.0</v>
      </c>
      <c r="C142" s="12" t="s">
        <v>451</v>
      </c>
      <c r="D142" s="2" t="s">
        <v>19</v>
      </c>
      <c r="E142" s="2" t="s">
        <v>1517</v>
      </c>
      <c r="F142" s="2" t="s">
        <v>1518</v>
      </c>
      <c r="G142" s="2"/>
    </row>
    <row r="143">
      <c r="A143" s="2">
        <v>8.0</v>
      </c>
      <c r="B143" s="2">
        <v>4.0</v>
      </c>
      <c r="C143" s="12" t="s">
        <v>451</v>
      </c>
      <c r="D143" s="2" t="s">
        <v>19</v>
      </c>
      <c r="E143" s="2" t="s">
        <v>482</v>
      </c>
      <c r="F143" s="2" t="s">
        <v>1519</v>
      </c>
      <c r="G143" s="2"/>
    </row>
    <row r="144">
      <c r="A144" s="2">
        <v>8.0</v>
      </c>
      <c r="B144" s="2">
        <v>4.0</v>
      </c>
      <c r="C144" s="12" t="s">
        <v>451</v>
      </c>
      <c r="D144" s="2" t="s">
        <v>19</v>
      </c>
      <c r="E144" s="2" t="s">
        <v>1520</v>
      </c>
      <c r="F144" s="2" t="s">
        <v>1521</v>
      </c>
      <c r="G144" s="2"/>
    </row>
    <row r="145">
      <c r="A145" s="2">
        <v>8.0</v>
      </c>
      <c r="B145" s="2">
        <v>4.0</v>
      </c>
      <c r="C145" s="12" t="s">
        <v>451</v>
      </c>
      <c r="D145" s="2" t="s">
        <v>8</v>
      </c>
      <c r="E145" s="2" t="s">
        <v>1522</v>
      </c>
      <c r="F145" s="2" t="s">
        <v>1522</v>
      </c>
      <c r="G145" s="2"/>
    </row>
    <row r="146">
      <c r="A146" s="2">
        <v>8.0</v>
      </c>
      <c r="B146" s="2">
        <v>4.0</v>
      </c>
      <c r="C146" s="12" t="s">
        <v>451</v>
      </c>
      <c r="D146" s="2" t="s">
        <v>19</v>
      </c>
      <c r="E146" s="2" t="s">
        <v>1523</v>
      </c>
      <c r="F146" s="2" t="s">
        <v>1524</v>
      </c>
      <c r="G146" s="2"/>
    </row>
    <row r="147">
      <c r="A147" s="2">
        <v>8.0</v>
      </c>
      <c r="B147" s="2">
        <v>4.0</v>
      </c>
      <c r="C147" s="12" t="s">
        <v>451</v>
      </c>
      <c r="D147" s="2" t="s">
        <v>8</v>
      </c>
      <c r="E147" s="2" t="s">
        <v>1525</v>
      </c>
      <c r="F147" s="2" t="s">
        <v>1525</v>
      </c>
      <c r="G147" s="2"/>
    </row>
    <row r="148">
      <c r="A148" s="2">
        <v>8.0</v>
      </c>
      <c r="B148" s="2">
        <v>4.0</v>
      </c>
      <c r="C148" s="12" t="s">
        <v>451</v>
      </c>
      <c r="D148" s="2" t="s">
        <v>19</v>
      </c>
      <c r="E148" s="2" t="s">
        <v>1526</v>
      </c>
      <c r="F148" s="2" t="s">
        <v>1527</v>
      </c>
      <c r="G148" s="2"/>
    </row>
    <row r="149">
      <c r="A149" s="2">
        <v>8.0</v>
      </c>
      <c r="B149" s="2">
        <v>5.0</v>
      </c>
      <c r="C149" s="12" t="s">
        <v>451</v>
      </c>
      <c r="D149" s="2" t="s">
        <v>19</v>
      </c>
      <c r="E149" s="2" t="s">
        <v>1528</v>
      </c>
      <c r="F149" s="2" t="s">
        <v>1529</v>
      </c>
      <c r="G149" s="2"/>
    </row>
    <row r="150">
      <c r="A150" s="2">
        <v>8.0</v>
      </c>
      <c r="B150" s="2">
        <v>7.0</v>
      </c>
      <c r="C150" s="2" t="s">
        <v>7</v>
      </c>
      <c r="D150" s="2" t="s">
        <v>8</v>
      </c>
      <c r="E150" s="2" t="s">
        <v>1530</v>
      </c>
      <c r="F150" s="2" t="s">
        <v>1531</v>
      </c>
      <c r="G150" s="2"/>
    </row>
    <row r="151">
      <c r="A151" s="2">
        <v>8.0</v>
      </c>
      <c r="B151" s="2">
        <v>7.0</v>
      </c>
      <c r="C151" s="2" t="s">
        <v>7</v>
      </c>
      <c r="D151" s="2" t="s">
        <v>8</v>
      </c>
      <c r="E151" s="2" t="s">
        <v>1532</v>
      </c>
      <c r="F151" s="2" t="s">
        <v>1533</v>
      </c>
      <c r="G151" s="2"/>
    </row>
    <row r="152">
      <c r="A152" s="2">
        <v>8.0</v>
      </c>
      <c r="B152" s="2">
        <v>7.0</v>
      </c>
      <c r="C152" s="2" t="s">
        <v>7</v>
      </c>
      <c r="D152" s="2" t="s">
        <v>8</v>
      </c>
      <c r="E152" s="2" t="s">
        <v>1534</v>
      </c>
      <c r="F152" s="2" t="s">
        <v>1535</v>
      </c>
      <c r="G152" s="2"/>
    </row>
    <row r="153">
      <c r="A153" s="2">
        <v>8.0</v>
      </c>
      <c r="B153" s="2">
        <v>7.0</v>
      </c>
      <c r="C153" s="2" t="s">
        <v>7</v>
      </c>
      <c r="D153" s="2" t="s">
        <v>19</v>
      </c>
      <c r="E153" s="2" t="s">
        <v>1536</v>
      </c>
      <c r="F153" s="2" t="s">
        <v>1537</v>
      </c>
      <c r="G153" s="2"/>
    </row>
    <row r="154">
      <c r="A154" s="2">
        <v>8.0</v>
      </c>
      <c r="B154" s="2">
        <v>7.0</v>
      </c>
      <c r="C154" s="2" t="s">
        <v>7</v>
      </c>
      <c r="D154" s="2" t="s">
        <v>8</v>
      </c>
      <c r="E154" s="2" t="s">
        <v>1538</v>
      </c>
      <c r="F154" s="2" t="s">
        <v>1539</v>
      </c>
      <c r="G154" s="2"/>
    </row>
    <row r="155">
      <c r="A155" s="2">
        <v>8.0</v>
      </c>
      <c r="B155" s="2">
        <v>8.0</v>
      </c>
      <c r="C155" s="2" t="s">
        <v>59</v>
      </c>
      <c r="D155" s="2" t="s">
        <v>19</v>
      </c>
      <c r="E155" s="2" t="s">
        <v>1540</v>
      </c>
      <c r="F155" s="2" t="s">
        <v>1541</v>
      </c>
      <c r="G155" s="2"/>
    </row>
    <row r="156">
      <c r="A156" s="2">
        <v>8.0</v>
      </c>
      <c r="B156" s="2">
        <v>8.0</v>
      </c>
      <c r="C156" s="2" t="s">
        <v>59</v>
      </c>
      <c r="D156" s="2" t="s">
        <v>19</v>
      </c>
      <c r="E156" s="2" t="s">
        <v>1542</v>
      </c>
      <c r="F156" s="2" t="s">
        <v>1543</v>
      </c>
      <c r="G156" s="2"/>
    </row>
    <row r="157">
      <c r="A157" s="2">
        <v>8.0</v>
      </c>
      <c r="B157" s="2">
        <v>8.0</v>
      </c>
      <c r="C157" s="2" t="s">
        <v>59</v>
      </c>
      <c r="D157" s="2" t="s">
        <v>19</v>
      </c>
      <c r="E157" s="2" t="s">
        <v>1544</v>
      </c>
      <c r="F157" s="2" t="s">
        <v>1545</v>
      </c>
      <c r="G157" s="2"/>
    </row>
    <row r="158">
      <c r="A158" s="2">
        <v>8.0</v>
      </c>
      <c r="B158" s="2">
        <v>9.0</v>
      </c>
      <c r="C158" s="2" t="s">
        <v>40</v>
      </c>
      <c r="D158" s="2" t="s">
        <v>8</v>
      </c>
      <c r="E158" s="2" t="s">
        <v>1546</v>
      </c>
      <c r="F158" s="2" t="s">
        <v>1546</v>
      </c>
      <c r="G158" s="2"/>
    </row>
    <row r="159">
      <c r="A159" s="2">
        <v>8.0</v>
      </c>
      <c r="B159" s="2">
        <v>9.0</v>
      </c>
      <c r="C159" s="2" t="s">
        <v>40</v>
      </c>
      <c r="D159" s="2" t="s">
        <v>19</v>
      </c>
      <c r="E159" s="2" t="s">
        <v>1547</v>
      </c>
      <c r="F159" s="2" t="s">
        <v>1548</v>
      </c>
      <c r="G159" s="2"/>
    </row>
    <row r="160">
      <c r="A160" s="2">
        <v>8.0</v>
      </c>
      <c r="B160" s="2">
        <v>9.0</v>
      </c>
      <c r="C160" s="2" t="s">
        <v>40</v>
      </c>
      <c r="D160" s="2" t="s">
        <v>8</v>
      </c>
      <c r="E160" s="2" t="s">
        <v>1549</v>
      </c>
      <c r="F160" s="2" t="s">
        <v>1550</v>
      </c>
      <c r="G160" s="2"/>
    </row>
    <row r="161">
      <c r="A161" s="2">
        <v>8.0</v>
      </c>
      <c r="B161" s="2">
        <v>9.0</v>
      </c>
      <c r="C161" s="2" t="s">
        <v>40</v>
      </c>
      <c r="D161" s="2" t="s">
        <v>19</v>
      </c>
      <c r="E161" s="2" t="s">
        <v>1551</v>
      </c>
      <c r="F161" s="2" t="s">
        <v>1552</v>
      </c>
      <c r="G161" s="2"/>
    </row>
    <row r="162">
      <c r="A162" s="2">
        <v>8.0</v>
      </c>
      <c r="B162" s="2">
        <v>10.0</v>
      </c>
      <c r="C162" s="2" t="s">
        <v>28</v>
      </c>
      <c r="D162" s="2" t="s">
        <v>8</v>
      </c>
      <c r="E162" s="2" t="s">
        <v>1553</v>
      </c>
      <c r="F162" s="2" t="s">
        <v>1554</v>
      </c>
      <c r="G162" s="2"/>
    </row>
    <row r="163">
      <c r="A163" s="2">
        <v>8.0</v>
      </c>
      <c r="B163" s="2">
        <v>10.0</v>
      </c>
      <c r="C163" s="2" t="s">
        <v>28</v>
      </c>
      <c r="D163" s="2" t="s">
        <v>19</v>
      </c>
      <c r="E163" s="2" t="s">
        <v>1555</v>
      </c>
      <c r="F163" s="2" t="s">
        <v>1556</v>
      </c>
      <c r="G163" s="2"/>
    </row>
    <row r="164">
      <c r="A164" s="2">
        <v>8.0</v>
      </c>
      <c r="B164" s="2">
        <v>10.0</v>
      </c>
      <c r="C164" s="2" t="s">
        <v>28</v>
      </c>
      <c r="D164" s="2" t="s">
        <v>8</v>
      </c>
      <c r="E164" s="2" t="s">
        <v>1557</v>
      </c>
      <c r="F164" s="2" t="s">
        <v>1558</v>
      </c>
      <c r="G164" s="2"/>
    </row>
    <row r="165">
      <c r="A165" s="2">
        <v>8.0</v>
      </c>
      <c r="B165" s="2">
        <v>10.0</v>
      </c>
      <c r="C165" s="2" t="s">
        <v>28</v>
      </c>
      <c r="D165" s="2" t="s">
        <v>8</v>
      </c>
      <c r="E165" s="2" t="s">
        <v>1559</v>
      </c>
      <c r="F165" s="2" t="s">
        <v>1560</v>
      </c>
      <c r="G165" s="2"/>
    </row>
    <row r="166">
      <c r="A166" s="2">
        <v>8.0</v>
      </c>
      <c r="B166" s="2">
        <v>10.0</v>
      </c>
      <c r="C166" s="2" t="s">
        <v>28</v>
      </c>
      <c r="D166" s="2" t="s">
        <v>19</v>
      </c>
      <c r="E166" s="2" t="s">
        <v>528</v>
      </c>
      <c r="F166" s="2" t="s">
        <v>1561</v>
      </c>
      <c r="G166" s="2"/>
    </row>
    <row r="167">
      <c r="A167" s="2">
        <v>8.0</v>
      </c>
      <c r="B167" s="2">
        <v>10.0</v>
      </c>
      <c r="C167" s="2" t="s">
        <v>28</v>
      </c>
      <c r="D167" s="2" t="s">
        <v>8</v>
      </c>
      <c r="E167" s="2" t="s">
        <v>1562</v>
      </c>
      <c r="F167" s="2" t="s">
        <v>1563</v>
      </c>
      <c r="G167" s="2"/>
    </row>
    <row r="168">
      <c r="A168" s="2">
        <v>8.0</v>
      </c>
      <c r="B168" s="2">
        <v>12.0</v>
      </c>
      <c r="C168" s="2" t="s">
        <v>47</v>
      </c>
      <c r="D168" s="2" t="s">
        <v>8</v>
      </c>
      <c r="E168" s="2" t="s">
        <v>1564</v>
      </c>
      <c r="F168" s="2" t="s">
        <v>1565</v>
      </c>
      <c r="G168" s="2"/>
    </row>
    <row r="169">
      <c r="A169" s="2">
        <v>8.0</v>
      </c>
      <c r="B169" s="2">
        <v>12.0</v>
      </c>
      <c r="C169" s="2" t="s">
        <v>47</v>
      </c>
      <c r="D169" s="2" t="s">
        <v>8</v>
      </c>
      <c r="E169" s="2" t="s">
        <v>1566</v>
      </c>
      <c r="F169" s="2" t="s">
        <v>1567</v>
      </c>
      <c r="G169" s="2"/>
    </row>
    <row r="170">
      <c r="A170" s="2">
        <v>8.0</v>
      </c>
      <c r="B170" s="2">
        <v>13.0</v>
      </c>
      <c r="C170" s="2" t="s">
        <v>72</v>
      </c>
      <c r="D170" s="2" t="s">
        <v>8</v>
      </c>
      <c r="E170" s="2" t="s">
        <v>1568</v>
      </c>
      <c r="F170" s="2" t="s">
        <v>1569</v>
      </c>
      <c r="G170" s="2"/>
    </row>
    <row r="171">
      <c r="A171" s="2">
        <v>8.0</v>
      </c>
      <c r="B171" s="2">
        <v>13.0</v>
      </c>
      <c r="C171" s="2" t="s">
        <v>72</v>
      </c>
      <c r="D171" s="2" t="s">
        <v>8</v>
      </c>
      <c r="E171" s="2" t="s">
        <v>1570</v>
      </c>
      <c r="F171" s="2" t="s">
        <v>1571</v>
      </c>
      <c r="G171" s="2"/>
    </row>
    <row r="172">
      <c r="A172" s="2">
        <v>8.0</v>
      </c>
      <c r="B172" s="2">
        <v>13.0</v>
      </c>
      <c r="C172" s="2" t="s">
        <v>72</v>
      </c>
      <c r="D172" s="2" t="s">
        <v>19</v>
      </c>
      <c r="E172" s="2" t="s">
        <v>1572</v>
      </c>
      <c r="F172" s="2" t="s">
        <v>1573</v>
      </c>
      <c r="G172" s="2"/>
    </row>
    <row r="173">
      <c r="A173" s="2">
        <v>8.0</v>
      </c>
      <c r="B173" s="2">
        <v>14.0</v>
      </c>
      <c r="C173" s="2" t="s">
        <v>33</v>
      </c>
      <c r="D173" s="2" t="s">
        <v>19</v>
      </c>
      <c r="E173" s="2" t="s">
        <v>1574</v>
      </c>
      <c r="F173" s="2" t="s">
        <v>1574</v>
      </c>
      <c r="G173" s="2"/>
    </row>
    <row r="174">
      <c r="A174" s="2">
        <v>8.0</v>
      </c>
      <c r="B174" s="2">
        <v>14.0</v>
      </c>
      <c r="C174" s="2" t="s">
        <v>33</v>
      </c>
      <c r="D174" s="2" t="s">
        <v>19</v>
      </c>
      <c r="E174" s="2" t="s">
        <v>1575</v>
      </c>
      <c r="F174" s="2" t="s">
        <v>1576</v>
      </c>
      <c r="G174" s="2"/>
    </row>
    <row r="175">
      <c r="A175" s="2">
        <v>8.0</v>
      </c>
      <c r="B175" s="2">
        <v>14.0</v>
      </c>
      <c r="C175" s="2" t="s">
        <v>33</v>
      </c>
      <c r="D175" s="2" t="s">
        <v>19</v>
      </c>
      <c r="E175" s="2" t="s">
        <v>1577</v>
      </c>
      <c r="F175" s="2" t="s">
        <v>1578</v>
      </c>
      <c r="G175" s="2"/>
    </row>
    <row r="176">
      <c r="A176" s="2">
        <v>8.0</v>
      </c>
      <c r="B176" s="2">
        <v>14.0</v>
      </c>
      <c r="C176" s="2" t="s">
        <v>33</v>
      </c>
      <c r="D176" s="2" t="s">
        <v>19</v>
      </c>
      <c r="E176" s="2" t="s">
        <v>1579</v>
      </c>
      <c r="F176" s="2" t="s">
        <v>1580</v>
      </c>
      <c r="G176" s="2"/>
    </row>
    <row r="177">
      <c r="A177" s="2">
        <v>8.0</v>
      </c>
      <c r="B177" s="2">
        <v>14.0</v>
      </c>
      <c r="C177" s="2" t="s">
        <v>33</v>
      </c>
      <c r="D177" s="2" t="s">
        <v>19</v>
      </c>
      <c r="E177" s="2" t="s">
        <v>1581</v>
      </c>
      <c r="F177" s="2" t="s">
        <v>1582</v>
      </c>
      <c r="G177" s="2"/>
    </row>
    <row r="178">
      <c r="A178" s="2">
        <v>8.0</v>
      </c>
      <c r="B178" s="2">
        <v>15.0</v>
      </c>
      <c r="C178" s="2" t="s">
        <v>33</v>
      </c>
      <c r="D178" s="2" t="s">
        <v>19</v>
      </c>
      <c r="E178" s="2" t="s">
        <v>1583</v>
      </c>
      <c r="F178" s="2" t="s">
        <v>1584</v>
      </c>
      <c r="G178" s="2"/>
    </row>
    <row r="179">
      <c r="A179" s="2">
        <v>8.0</v>
      </c>
      <c r="B179" s="2">
        <v>15.0</v>
      </c>
      <c r="C179" s="2" t="s">
        <v>33</v>
      </c>
      <c r="D179" s="2" t="s">
        <v>19</v>
      </c>
      <c r="E179" s="2" t="s">
        <v>1585</v>
      </c>
      <c r="F179" s="2" t="s">
        <v>1586</v>
      </c>
      <c r="G179" s="2"/>
    </row>
    <row r="180">
      <c r="A180" s="2">
        <v>8.0</v>
      </c>
      <c r="B180" s="2">
        <v>17.0</v>
      </c>
      <c r="C180" s="12" t="s">
        <v>176</v>
      </c>
      <c r="D180" s="2" t="s">
        <v>8</v>
      </c>
      <c r="E180" s="2" t="s">
        <v>1587</v>
      </c>
      <c r="F180" s="2" t="s">
        <v>1588</v>
      </c>
      <c r="G180" s="2"/>
    </row>
    <row r="181">
      <c r="A181" s="2">
        <v>9.0</v>
      </c>
      <c r="B181" s="2">
        <v>2.0</v>
      </c>
      <c r="C181" s="2" t="s">
        <v>7</v>
      </c>
      <c r="D181" s="2" t="s">
        <v>8</v>
      </c>
      <c r="E181" s="2" t="s">
        <v>1589</v>
      </c>
      <c r="F181" s="2" t="s">
        <v>1590</v>
      </c>
      <c r="G181" s="2"/>
    </row>
    <row r="182">
      <c r="A182" s="2">
        <v>9.0</v>
      </c>
      <c r="B182" s="2">
        <v>3.0</v>
      </c>
      <c r="C182" s="2" t="s">
        <v>7</v>
      </c>
      <c r="D182" s="2" t="s">
        <v>8</v>
      </c>
      <c r="E182" s="2" t="s">
        <v>1591</v>
      </c>
      <c r="F182" s="2" t="s">
        <v>1592</v>
      </c>
      <c r="G182" s="2"/>
    </row>
    <row r="183">
      <c r="A183" s="2">
        <v>9.0</v>
      </c>
      <c r="B183" s="2">
        <v>4.0</v>
      </c>
      <c r="C183" s="2" t="s">
        <v>7</v>
      </c>
      <c r="D183" s="2" t="s">
        <v>8</v>
      </c>
      <c r="E183" s="2" t="s">
        <v>1593</v>
      </c>
      <c r="F183" s="2" t="s">
        <v>1594</v>
      </c>
      <c r="G183" s="2"/>
    </row>
    <row r="184">
      <c r="A184" s="2">
        <v>9.0</v>
      </c>
      <c r="B184" s="2">
        <v>4.0</v>
      </c>
      <c r="C184" s="2" t="s">
        <v>7</v>
      </c>
      <c r="D184" s="2" t="s">
        <v>8</v>
      </c>
      <c r="E184" s="2" t="s">
        <v>1595</v>
      </c>
      <c r="F184" s="2" t="s">
        <v>1596</v>
      </c>
      <c r="G184" s="2"/>
    </row>
    <row r="185">
      <c r="A185" s="2">
        <v>9.0</v>
      </c>
      <c r="B185" s="2">
        <v>5.0</v>
      </c>
      <c r="C185" s="2" t="s">
        <v>7</v>
      </c>
      <c r="D185" s="2" t="s">
        <v>8</v>
      </c>
      <c r="E185" s="2" t="s">
        <v>1597</v>
      </c>
      <c r="F185" s="2" t="s">
        <v>1598</v>
      </c>
      <c r="G185" s="2"/>
    </row>
    <row r="186">
      <c r="A186" s="2">
        <v>9.0</v>
      </c>
      <c r="B186" s="2">
        <v>5.0</v>
      </c>
      <c r="C186" s="2" t="s">
        <v>7</v>
      </c>
      <c r="D186" s="2" t="s">
        <v>19</v>
      </c>
      <c r="E186" s="2" t="s">
        <v>1599</v>
      </c>
      <c r="F186" s="2" t="s">
        <v>1600</v>
      </c>
      <c r="G186" s="2"/>
    </row>
    <row r="187">
      <c r="A187" s="2">
        <v>9.0</v>
      </c>
      <c r="B187" s="2">
        <v>7.0</v>
      </c>
      <c r="C187" s="12" t="s">
        <v>59</v>
      </c>
      <c r="D187" s="2" t="s">
        <v>8</v>
      </c>
      <c r="E187" s="2" t="s">
        <v>1601</v>
      </c>
      <c r="F187" s="2" t="s">
        <v>1602</v>
      </c>
      <c r="G187" s="2"/>
    </row>
    <row r="188">
      <c r="A188" s="2">
        <v>9.0</v>
      </c>
      <c r="B188" s="2">
        <v>7.0</v>
      </c>
      <c r="C188" s="12" t="s">
        <v>59</v>
      </c>
      <c r="D188" s="2" t="s">
        <v>19</v>
      </c>
      <c r="E188" s="2" t="s">
        <v>1603</v>
      </c>
      <c r="F188" s="2" t="s">
        <v>1604</v>
      </c>
      <c r="G188" s="2"/>
    </row>
    <row r="189">
      <c r="A189" s="2">
        <v>9.0</v>
      </c>
      <c r="B189" s="2">
        <v>8.0</v>
      </c>
      <c r="C189" s="12" t="s">
        <v>59</v>
      </c>
      <c r="D189" s="2" t="s">
        <v>8</v>
      </c>
      <c r="E189" s="2" t="s">
        <v>1605</v>
      </c>
      <c r="F189" s="2" t="s">
        <v>1606</v>
      </c>
      <c r="G189" s="2"/>
    </row>
    <row r="190">
      <c r="A190" s="2">
        <v>9.0</v>
      </c>
      <c r="B190" s="2">
        <v>8.0</v>
      </c>
      <c r="C190" s="12" t="s">
        <v>59</v>
      </c>
      <c r="D190" s="2" t="s">
        <v>19</v>
      </c>
      <c r="E190" s="2" t="s">
        <v>1607</v>
      </c>
      <c r="F190" s="2" t="s">
        <v>1608</v>
      </c>
      <c r="G190" s="2"/>
    </row>
    <row r="191">
      <c r="A191" s="2">
        <v>9.0</v>
      </c>
      <c r="B191" s="2">
        <v>9.0</v>
      </c>
      <c r="C191" s="2" t="s">
        <v>40</v>
      </c>
      <c r="D191" s="2" t="s">
        <v>8</v>
      </c>
      <c r="E191" s="2" t="s">
        <v>1609</v>
      </c>
      <c r="F191" s="2" t="s">
        <v>1609</v>
      </c>
      <c r="G191" s="2"/>
    </row>
    <row r="192">
      <c r="A192" s="2">
        <v>9.0</v>
      </c>
      <c r="B192" s="2">
        <v>9.0</v>
      </c>
      <c r="C192" s="2" t="s">
        <v>40</v>
      </c>
      <c r="D192" s="2" t="s">
        <v>19</v>
      </c>
      <c r="E192" s="2" t="s">
        <v>1610</v>
      </c>
      <c r="F192" s="2" t="s">
        <v>1611</v>
      </c>
      <c r="G192" s="2"/>
    </row>
    <row r="193">
      <c r="A193" s="2">
        <v>9.0</v>
      </c>
      <c r="B193" s="2">
        <v>9.0</v>
      </c>
      <c r="C193" s="2" t="s">
        <v>40</v>
      </c>
      <c r="D193" s="2" t="s">
        <v>19</v>
      </c>
      <c r="E193" s="2" t="s">
        <v>1612</v>
      </c>
      <c r="F193" s="2" t="s">
        <v>1613</v>
      </c>
      <c r="G193" s="2"/>
    </row>
    <row r="194">
      <c r="A194" s="2">
        <v>9.0</v>
      </c>
      <c r="B194" s="2">
        <v>10.0</v>
      </c>
      <c r="C194" s="2" t="s">
        <v>40</v>
      </c>
      <c r="D194" s="2" t="s">
        <v>19</v>
      </c>
      <c r="E194" s="2" t="s">
        <v>1614</v>
      </c>
      <c r="F194" s="2" t="s">
        <v>1615</v>
      </c>
      <c r="G194" s="2"/>
    </row>
    <row r="195">
      <c r="A195" s="2">
        <v>9.0</v>
      </c>
      <c r="B195" s="2">
        <v>10.0</v>
      </c>
      <c r="C195" s="2" t="s">
        <v>40</v>
      </c>
      <c r="D195" s="2" t="s">
        <v>19</v>
      </c>
      <c r="E195" s="2" t="s">
        <v>1616</v>
      </c>
      <c r="F195" s="2" t="s">
        <v>1617</v>
      </c>
      <c r="G195" s="2"/>
    </row>
    <row r="196">
      <c r="A196" s="2">
        <v>9.0</v>
      </c>
      <c r="B196" s="2">
        <v>12.0</v>
      </c>
      <c r="C196" s="2" t="s">
        <v>40</v>
      </c>
      <c r="D196" s="2" t="s">
        <v>19</v>
      </c>
      <c r="E196" s="2" t="s">
        <v>1618</v>
      </c>
      <c r="F196" s="2" t="s">
        <v>1619</v>
      </c>
      <c r="G196" s="2"/>
    </row>
    <row r="197">
      <c r="A197" s="2">
        <v>9.0</v>
      </c>
      <c r="B197" s="2">
        <v>13.0</v>
      </c>
      <c r="C197" s="2" t="s">
        <v>28</v>
      </c>
      <c r="D197" s="2" t="s">
        <v>8</v>
      </c>
      <c r="E197" s="2" t="s">
        <v>1620</v>
      </c>
      <c r="F197" s="2" t="s">
        <v>1621</v>
      </c>
      <c r="G197" s="2"/>
    </row>
    <row r="198">
      <c r="A198" s="2">
        <v>9.0</v>
      </c>
      <c r="B198" s="2">
        <v>14.0</v>
      </c>
      <c r="C198" s="2" t="s">
        <v>28</v>
      </c>
      <c r="D198" s="2" t="s">
        <v>19</v>
      </c>
      <c r="E198" s="2" t="s">
        <v>1622</v>
      </c>
      <c r="F198" s="2" t="s">
        <v>1623</v>
      </c>
      <c r="G198" s="2"/>
    </row>
    <row r="199">
      <c r="A199" s="2">
        <v>9.0</v>
      </c>
      <c r="B199" s="2">
        <v>14.0</v>
      </c>
      <c r="C199" s="2" t="s">
        <v>28</v>
      </c>
      <c r="D199" s="2" t="s">
        <v>8</v>
      </c>
      <c r="E199" s="2" t="s">
        <v>1624</v>
      </c>
      <c r="F199" s="2" t="s">
        <v>1625</v>
      </c>
      <c r="G199" s="2"/>
    </row>
    <row r="200">
      <c r="A200" s="2">
        <v>9.0</v>
      </c>
      <c r="B200" s="2">
        <v>15.0</v>
      </c>
      <c r="C200" s="21" t="s">
        <v>47</v>
      </c>
      <c r="D200" s="2" t="s">
        <v>19</v>
      </c>
      <c r="E200" s="2" t="s">
        <v>1626</v>
      </c>
      <c r="F200" s="2" t="s">
        <v>1627</v>
      </c>
      <c r="G200" s="2"/>
    </row>
    <row r="201">
      <c r="A201" s="2">
        <v>9.0</v>
      </c>
      <c r="B201" s="2">
        <v>15.0</v>
      </c>
      <c r="C201" s="21" t="s">
        <v>47</v>
      </c>
      <c r="D201" s="2" t="s">
        <v>8</v>
      </c>
      <c r="E201" s="2" t="s">
        <v>1628</v>
      </c>
      <c r="F201" s="2" t="s">
        <v>1629</v>
      </c>
      <c r="G201" s="2"/>
    </row>
    <row r="202">
      <c r="A202" s="2">
        <v>9.0</v>
      </c>
      <c r="B202" s="2">
        <v>17.0</v>
      </c>
      <c r="C202" s="2" t="s">
        <v>47</v>
      </c>
      <c r="D202" s="2" t="s">
        <v>8</v>
      </c>
      <c r="E202" s="2" t="s">
        <v>1630</v>
      </c>
      <c r="F202" s="2" t="s">
        <v>1631</v>
      </c>
      <c r="G202" s="2"/>
    </row>
    <row r="203">
      <c r="A203" s="2">
        <v>9.0</v>
      </c>
      <c r="B203" s="2">
        <v>17.0</v>
      </c>
      <c r="C203" s="2" t="s">
        <v>47</v>
      </c>
      <c r="D203" s="2" t="s">
        <v>19</v>
      </c>
      <c r="E203" s="2" t="s">
        <v>1632</v>
      </c>
      <c r="F203" s="2" t="s">
        <v>1633</v>
      </c>
      <c r="G203" s="2"/>
    </row>
    <row r="204">
      <c r="A204" s="2">
        <v>9.0</v>
      </c>
      <c r="B204" s="2">
        <v>18.0</v>
      </c>
      <c r="C204" s="2" t="s">
        <v>72</v>
      </c>
      <c r="D204" s="2" t="s">
        <v>19</v>
      </c>
      <c r="E204" s="2" t="s">
        <v>1634</v>
      </c>
      <c r="F204" s="2" t="s">
        <v>1635</v>
      </c>
      <c r="G204" s="2"/>
    </row>
    <row r="205">
      <c r="A205" s="2">
        <v>9.0</v>
      </c>
      <c r="B205" s="2">
        <v>19.0</v>
      </c>
      <c r="C205" s="2" t="s">
        <v>72</v>
      </c>
      <c r="D205" s="2" t="s">
        <v>19</v>
      </c>
      <c r="E205" s="2" t="s">
        <v>1636</v>
      </c>
      <c r="F205" s="2" t="s">
        <v>1637</v>
      </c>
      <c r="G205" s="2"/>
    </row>
    <row r="206">
      <c r="A206" s="2">
        <v>9.0</v>
      </c>
      <c r="B206" s="2">
        <v>19.0</v>
      </c>
      <c r="C206" s="2" t="s">
        <v>72</v>
      </c>
      <c r="D206" s="2" t="s">
        <v>19</v>
      </c>
      <c r="E206" s="2" t="s">
        <v>1638</v>
      </c>
      <c r="F206" s="2" t="s">
        <v>1639</v>
      </c>
      <c r="G206" s="2"/>
    </row>
    <row r="207">
      <c r="A207" s="2">
        <v>9.0</v>
      </c>
      <c r="B207" s="2">
        <v>20.0</v>
      </c>
      <c r="C207" s="2" t="s">
        <v>72</v>
      </c>
      <c r="D207" s="2" t="s">
        <v>8</v>
      </c>
      <c r="E207" s="2" t="s">
        <v>1640</v>
      </c>
      <c r="F207" s="2" t="s">
        <v>1641</v>
      </c>
      <c r="G207" s="2"/>
    </row>
    <row r="208">
      <c r="A208" s="2">
        <v>9.0</v>
      </c>
      <c r="B208" s="2">
        <v>22.0</v>
      </c>
      <c r="C208" s="2" t="s">
        <v>72</v>
      </c>
      <c r="D208" s="2" t="s">
        <v>19</v>
      </c>
      <c r="E208" s="2" t="s">
        <v>1642</v>
      </c>
      <c r="F208" s="2" t="s">
        <v>1643</v>
      </c>
      <c r="G208" s="2"/>
    </row>
    <row r="209">
      <c r="A209" s="2">
        <v>9.0</v>
      </c>
      <c r="B209" s="2">
        <v>23.0</v>
      </c>
      <c r="C209" s="2" t="s">
        <v>33</v>
      </c>
      <c r="D209" s="2" t="s">
        <v>19</v>
      </c>
      <c r="E209" s="2" t="s">
        <v>1644</v>
      </c>
      <c r="F209" s="2" t="s">
        <v>1645</v>
      </c>
      <c r="G209" s="2"/>
    </row>
    <row r="210">
      <c r="A210" s="2">
        <v>9.0</v>
      </c>
      <c r="B210" s="2">
        <v>24.0</v>
      </c>
      <c r="C210" s="2" t="s">
        <v>54</v>
      </c>
      <c r="D210" s="2" t="s">
        <v>19</v>
      </c>
      <c r="E210" s="2" t="s">
        <v>1646</v>
      </c>
      <c r="F210" s="2" t="s">
        <v>1647</v>
      </c>
      <c r="G210" s="2"/>
    </row>
    <row r="211">
      <c r="A211" s="2">
        <v>9.0</v>
      </c>
      <c r="B211" s="2">
        <v>25.0</v>
      </c>
      <c r="C211" s="2" t="s">
        <v>54</v>
      </c>
      <c r="G211" s="2"/>
    </row>
    <row r="212">
      <c r="A212" s="2">
        <v>9.0</v>
      </c>
      <c r="B212" s="2">
        <v>27.0</v>
      </c>
      <c r="C212" s="12" t="s">
        <v>176</v>
      </c>
      <c r="D212" s="2"/>
      <c r="E212" s="2"/>
      <c r="F212" s="2"/>
      <c r="G212" s="2"/>
    </row>
    <row r="213">
      <c r="A213" s="2">
        <v>10.0</v>
      </c>
      <c r="B213" s="2">
        <v>2.0</v>
      </c>
      <c r="C213" s="2" t="s">
        <v>451</v>
      </c>
      <c r="D213" s="2" t="s">
        <v>19</v>
      </c>
      <c r="E213" s="2" t="s">
        <v>1648</v>
      </c>
      <c r="F213" s="2" t="s">
        <v>1649</v>
      </c>
      <c r="G213" s="2"/>
    </row>
    <row r="214">
      <c r="A214" s="2">
        <v>10.0</v>
      </c>
      <c r="B214" s="2">
        <v>3.0</v>
      </c>
      <c r="C214" s="2" t="s">
        <v>7</v>
      </c>
      <c r="D214" s="2" t="s">
        <v>8</v>
      </c>
      <c r="E214" s="2" t="s">
        <v>1650</v>
      </c>
      <c r="F214" s="2" t="s">
        <v>1651</v>
      </c>
      <c r="G214" s="2"/>
    </row>
    <row r="215">
      <c r="A215" s="2">
        <v>10.0</v>
      </c>
      <c r="B215" s="2">
        <v>4.0</v>
      </c>
      <c r="C215" s="2" t="s">
        <v>7</v>
      </c>
      <c r="D215" s="2" t="s">
        <v>8</v>
      </c>
      <c r="E215" s="2" t="s">
        <v>1652</v>
      </c>
      <c r="F215" s="2" t="s">
        <v>1653</v>
      </c>
      <c r="G215" s="2"/>
    </row>
    <row r="216">
      <c r="A216" s="2">
        <v>10.0</v>
      </c>
      <c r="B216" s="2">
        <v>5.0</v>
      </c>
      <c r="C216" s="2" t="s">
        <v>7</v>
      </c>
      <c r="D216" s="2" t="s">
        <v>8</v>
      </c>
      <c r="E216" s="2" t="s">
        <v>1654</v>
      </c>
      <c r="F216" s="2" t="s">
        <v>1655</v>
      </c>
      <c r="G216" s="2"/>
    </row>
    <row r="217">
      <c r="A217" s="2">
        <v>10.0</v>
      </c>
      <c r="B217" s="2">
        <v>7.0</v>
      </c>
      <c r="C217" s="2" t="s">
        <v>7</v>
      </c>
      <c r="D217" s="2" t="s">
        <v>19</v>
      </c>
      <c r="E217" s="2" t="s">
        <v>1656</v>
      </c>
      <c r="F217" s="2" t="s">
        <v>1657</v>
      </c>
      <c r="G217" s="2"/>
    </row>
    <row r="218">
      <c r="A218" s="2">
        <v>10.0</v>
      </c>
      <c r="B218" s="2">
        <v>7.0</v>
      </c>
      <c r="C218" s="2" t="s">
        <v>7</v>
      </c>
      <c r="D218" s="2" t="s">
        <v>8</v>
      </c>
      <c r="E218" s="2" t="s">
        <v>1658</v>
      </c>
      <c r="F218" s="2" t="s">
        <v>1659</v>
      </c>
      <c r="G218" s="2"/>
    </row>
    <row r="219">
      <c r="A219" s="2">
        <v>10.0</v>
      </c>
      <c r="B219" s="2">
        <v>8.0</v>
      </c>
      <c r="C219" s="2" t="s">
        <v>7</v>
      </c>
      <c r="D219" s="2" t="s">
        <v>8</v>
      </c>
      <c r="E219" s="2" t="s">
        <v>1660</v>
      </c>
      <c r="F219" s="2" t="s">
        <v>1661</v>
      </c>
      <c r="G219" s="2"/>
    </row>
    <row r="220">
      <c r="A220" s="2">
        <v>10.0</v>
      </c>
      <c r="B220" s="2">
        <v>9.0</v>
      </c>
      <c r="C220" s="2" t="s">
        <v>7</v>
      </c>
      <c r="D220" s="2" t="s">
        <v>19</v>
      </c>
      <c r="E220" s="2" t="s">
        <v>1662</v>
      </c>
      <c r="F220" s="2" t="s">
        <v>1663</v>
      </c>
      <c r="G220" s="2"/>
    </row>
    <row r="221">
      <c r="A221" s="2">
        <v>10.0</v>
      </c>
      <c r="B221" s="2">
        <v>10.0</v>
      </c>
      <c r="C221" s="2" t="s">
        <v>7</v>
      </c>
      <c r="D221" s="2" t="s">
        <v>8</v>
      </c>
      <c r="E221" s="2" t="s">
        <v>1664</v>
      </c>
      <c r="F221" s="2" t="s">
        <v>1665</v>
      </c>
      <c r="G221" s="2"/>
    </row>
    <row r="222">
      <c r="A222" s="2">
        <v>10.0</v>
      </c>
      <c r="B222" s="2">
        <v>10.0</v>
      </c>
      <c r="C222" s="2" t="s">
        <v>7</v>
      </c>
      <c r="D222" s="2" t="s">
        <v>19</v>
      </c>
      <c r="E222" s="2" t="s">
        <v>1666</v>
      </c>
      <c r="F222" s="2" t="s">
        <v>1667</v>
      </c>
      <c r="G222" s="2"/>
    </row>
    <row r="223">
      <c r="A223" s="2">
        <v>10.0</v>
      </c>
      <c r="B223" s="2">
        <v>12.0</v>
      </c>
      <c r="C223" s="12" t="s">
        <v>59</v>
      </c>
      <c r="D223" s="2" t="s">
        <v>19</v>
      </c>
      <c r="E223" s="2" t="s">
        <v>1668</v>
      </c>
      <c r="F223" s="2" t="s">
        <v>1669</v>
      </c>
      <c r="G223" s="2"/>
    </row>
    <row r="224">
      <c r="A224" s="2">
        <v>10.0</v>
      </c>
      <c r="B224" s="2">
        <v>12.0</v>
      </c>
      <c r="C224" s="12" t="s">
        <v>59</v>
      </c>
      <c r="D224" s="2" t="s">
        <v>19</v>
      </c>
      <c r="E224" s="2" t="s">
        <v>1670</v>
      </c>
      <c r="F224" s="2" t="s">
        <v>1671</v>
      </c>
      <c r="G224" s="2"/>
    </row>
    <row r="225">
      <c r="A225" s="2">
        <v>10.0</v>
      </c>
      <c r="B225" s="2">
        <v>13.0</v>
      </c>
      <c r="C225" s="12" t="s">
        <v>59</v>
      </c>
      <c r="D225" s="2" t="s">
        <v>8</v>
      </c>
      <c r="E225" s="2" t="s">
        <v>1672</v>
      </c>
      <c r="F225" s="2" t="s">
        <v>1673</v>
      </c>
      <c r="G225" s="2"/>
    </row>
    <row r="226">
      <c r="A226" s="2">
        <v>10.0</v>
      </c>
      <c r="B226" s="2">
        <v>13.0</v>
      </c>
      <c r="C226" s="12" t="s">
        <v>59</v>
      </c>
      <c r="D226" s="2" t="s">
        <v>19</v>
      </c>
      <c r="E226" s="2" t="s">
        <v>1674</v>
      </c>
      <c r="F226" s="2" t="s">
        <v>1675</v>
      </c>
      <c r="G226" s="2"/>
    </row>
    <row r="227">
      <c r="A227" s="2">
        <v>10.0</v>
      </c>
      <c r="B227" s="2">
        <v>14.0</v>
      </c>
      <c r="C227" s="2" t="s">
        <v>40</v>
      </c>
      <c r="D227" s="2"/>
      <c r="E227" s="2"/>
      <c r="F227" s="2"/>
      <c r="G227" s="2"/>
    </row>
    <row r="228">
      <c r="A228" s="2">
        <v>10.0</v>
      </c>
      <c r="B228" s="2">
        <v>15.0</v>
      </c>
      <c r="C228" s="2" t="s">
        <v>40</v>
      </c>
      <c r="D228" s="2" t="s">
        <v>19</v>
      </c>
      <c r="E228" s="2" t="s">
        <v>1676</v>
      </c>
      <c r="F228" s="2" t="s">
        <v>1677</v>
      </c>
      <c r="G228" s="2"/>
    </row>
    <row r="229">
      <c r="A229" s="2">
        <v>10.0</v>
      </c>
      <c r="B229" s="2">
        <v>17.0</v>
      </c>
      <c r="C229" s="2" t="s">
        <v>28</v>
      </c>
      <c r="D229" s="2" t="s">
        <v>19</v>
      </c>
      <c r="E229" s="2" t="s">
        <v>1678</v>
      </c>
      <c r="F229" s="2" t="s">
        <v>1679</v>
      </c>
      <c r="G229" s="2"/>
    </row>
    <row r="230">
      <c r="A230" s="2">
        <v>10.0</v>
      </c>
      <c r="B230" s="2" t="s">
        <v>1680</v>
      </c>
      <c r="C230" s="2" t="s">
        <v>28</v>
      </c>
      <c r="D230" s="2" t="s">
        <v>19</v>
      </c>
      <c r="E230" s="2" t="s">
        <v>1681</v>
      </c>
      <c r="F230" s="2" t="s">
        <v>1682</v>
      </c>
      <c r="G230" s="2"/>
    </row>
    <row r="231">
      <c r="A231" s="2">
        <v>10.0</v>
      </c>
      <c r="B231" s="2">
        <v>18.0</v>
      </c>
      <c r="C231" s="2" t="s">
        <v>28</v>
      </c>
      <c r="D231" s="2"/>
      <c r="E231" s="2"/>
      <c r="F231" s="2"/>
      <c r="G231" s="2"/>
    </row>
    <row r="232">
      <c r="A232" s="2">
        <v>10.0</v>
      </c>
      <c r="B232" s="2">
        <v>19.0</v>
      </c>
      <c r="C232" s="21" t="s">
        <v>47</v>
      </c>
      <c r="D232" s="2" t="s">
        <v>8</v>
      </c>
      <c r="E232" s="2" t="s">
        <v>1683</v>
      </c>
      <c r="F232" s="2" t="s">
        <v>1684</v>
      </c>
      <c r="G232" s="2"/>
    </row>
    <row r="233">
      <c r="A233" s="2">
        <v>10.0</v>
      </c>
      <c r="B233" s="2">
        <v>20.0</v>
      </c>
      <c r="C233" s="2" t="s">
        <v>72</v>
      </c>
      <c r="D233" s="2" t="s">
        <v>19</v>
      </c>
      <c r="E233" s="2" t="s">
        <v>1685</v>
      </c>
      <c r="F233" s="2" t="s">
        <v>1686</v>
      </c>
      <c r="G233" s="2"/>
    </row>
    <row r="234">
      <c r="A234" s="2">
        <v>10.0</v>
      </c>
      <c r="B234" s="2">
        <v>22.0</v>
      </c>
      <c r="C234" s="2" t="s">
        <v>33</v>
      </c>
      <c r="D234" s="2" t="s">
        <v>19</v>
      </c>
      <c r="E234" s="2" t="s">
        <v>1687</v>
      </c>
      <c r="F234" s="2" t="s">
        <v>1688</v>
      </c>
      <c r="G234" s="2"/>
    </row>
    <row r="235">
      <c r="A235" s="2">
        <v>10.0</v>
      </c>
      <c r="B235" s="2">
        <v>22.0</v>
      </c>
      <c r="C235" s="2" t="s">
        <v>33</v>
      </c>
      <c r="D235" s="2" t="s">
        <v>19</v>
      </c>
      <c r="E235" s="2" t="s">
        <v>1689</v>
      </c>
      <c r="F235" s="2" t="s">
        <v>1690</v>
      </c>
      <c r="G235" s="2"/>
    </row>
    <row r="236">
      <c r="A236" s="2">
        <v>10.0</v>
      </c>
      <c r="B236" s="2">
        <v>23.0</v>
      </c>
      <c r="C236" s="2" t="s">
        <v>33</v>
      </c>
      <c r="D236" s="2" t="s">
        <v>19</v>
      </c>
      <c r="E236" s="2" t="s">
        <v>1691</v>
      </c>
      <c r="F236" s="2" t="s">
        <v>1692</v>
      </c>
      <c r="G236" s="2"/>
    </row>
    <row r="237">
      <c r="A237" s="2">
        <v>10.0</v>
      </c>
      <c r="B237" s="2">
        <v>24.0</v>
      </c>
      <c r="C237" s="2" t="s">
        <v>33</v>
      </c>
      <c r="D237" s="2" t="s">
        <v>19</v>
      </c>
      <c r="E237" s="2" t="s">
        <v>1693</v>
      </c>
      <c r="F237" s="2" t="s">
        <v>1694</v>
      </c>
      <c r="G237" s="2"/>
    </row>
    <row r="238">
      <c r="A238" s="2">
        <v>10.0</v>
      </c>
      <c r="B238" s="2">
        <v>24.0</v>
      </c>
      <c r="C238" s="2" t="s">
        <v>33</v>
      </c>
      <c r="D238" s="2" t="s">
        <v>19</v>
      </c>
      <c r="E238" s="2" t="s">
        <v>1695</v>
      </c>
      <c r="F238" s="2" t="s">
        <v>1696</v>
      </c>
      <c r="G238" s="2"/>
    </row>
    <row r="239">
      <c r="A239" s="2">
        <v>10.0</v>
      </c>
      <c r="B239" s="2">
        <v>25.0</v>
      </c>
      <c r="C239" s="2" t="s">
        <v>54</v>
      </c>
      <c r="D239" s="2" t="s">
        <v>19</v>
      </c>
      <c r="E239" s="2" t="s">
        <v>1697</v>
      </c>
      <c r="F239" s="2" t="s">
        <v>1698</v>
      </c>
      <c r="G239" s="2"/>
    </row>
    <row r="240">
      <c r="A240" s="2">
        <v>10.0</v>
      </c>
      <c r="B240" s="2">
        <v>25.0</v>
      </c>
      <c r="C240" s="2" t="s">
        <v>54</v>
      </c>
      <c r="D240" s="2" t="s">
        <v>19</v>
      </c>
      <c r="E240" s="2" t="s">
        <v>1699</v>
      </c>
      <c r="F240" s="2" t="s">
        <v>1700</v>
      </c>
      <c r="G240" s="2"/>
    </row>
    <row r="241">
      <c r="A241" s="2">
        <v>10.0</v>
      </c>
      <c r="B241" s="2">
        <v>25.0</v>
      </c>
      <c r="C241" s="2" t="s">
        <v>54</v>
      </c>
      <c r="D241" s="2" t="s">
        <v>19</v>
      </c>
      <c r="E241" s="2" t="s">
        <v>1701</v>
      </c>
      <c r="F241" s="2" t="s">
        <v>1702</v>
      </c>
      <c r="G241" s="2"/>
    </row>
    <row r="242">
      <c r="A242" s="2">
        <v>10.0</v>
      </c>
      <c r="B242" s="2">
        <v>27.0</v>
      </c>
      <c r="C242" s="2" t="s">
        <v>54</v>
      </c>
      <c r="D242" s="2"/>
      <c r="E242" s="2"/>
      <c r="F242" s="2"/>
      <c r="G242" s="2"/>
    </row>
    <row r="243">
      <c r="A243" s="2">
        <v>10.0</v>
      </c>
      <c r="B243" s="2">
        <v>28.0</v>
      </c>
      <c r="C243" s="2" t="s">
        <v>176</v>
      </c>
      <c r="D243" s="2" t="s">
        <v>8</v>
      </c>
      <c r="E243" s="2" t="s">
        <v>1703</v>
      </c>
      <c r="F243" s="2" t="s">
        <v>1704</v>
      </c>
      <c r="G243" s="2"/>
    </row>
    <row r="244">
      <c r="A244" s="2">
        <v>10.0</v>
      </c>
      <c r="B244" s="2">
        <v>29.0</v>
      </c>
      <c r="C244" s="2" t="s">
        <v>176</v>
      </c>
      <c r="D244" s="2"/>
      <c r="E244" s="2"/>
      <c r="F244" s="2"/>
      <c r="G244" s="2"/>
    </row>
    <row r="245">
      <c r="A245" s="2">
        <v>10.0</v>
      </c>
      <c r="B245" s="2">
        <v>30.0</v>
      </c>
      <c r="C245" s="2" t="s">
        <v>176</v>
      </c>
      <c r="D245" s="2"/>
      <c r="E245" s="2"/>
      <c r="F245" s="2"/>
      <c r="G245" s="2"/>
    </row>
    <row r="246">
      <c r="A246" s="2">
        <v>11.0</v>
      </c>
      <c r="B246" s="2">
        <v>2.0</v>
      </c>
      <c r="C246" s="2" t="s">
        <v>451</v>
      </c>
      <c r="D246" s="2"/>
      <c r="E246" s="2"/>
      <c r="F246" s="2"/>
      <c r="G246" s="2"/>
    </row>
    <row r="247">
      <c r="A247" s="2">
        <v>11.0</v>
      </c>
      <c r="B247" s="2">
        <v>3.0</v>
      </c>
      <c r="C247" s="2" t="s">
        <v>7</v>
      </c>
      <c r="D247" s="2" t="s">
        <v>8</v>
      </c>
      <c r="E247" s="2" t="s">
        <v>1705</v>
      </c>
      <c r="F247" s="2" t="s">
        <v>1706</v>
      </c>
      <c r="G247" s="2"/>
    </row>
    <row r="248">
      <c r="A248" s="2">
        <v>11.0</v>
      </c>
      <c r="B248" s="2">
        <v>4.0</v>
      </c>
      <c r="C248" s="2" t="s">
        <v>7</v>
      </c>
      <c r="D248" s="2" t="s">
        <v>19</v>
      </c>
      <c r="E248" s="2" t="s">
        <v>1707</v>
      </c>
      <c r="F248" s="2" t="s">
        <v>1708</v>
      </c>
      <c r="G248" s="2"/>
    </row>
    <row r="249">
      <c r="A249" s="2">
        <v>11.0</v>
      </c>
      <c r="B249" s="2">
        <v>5.0</v>
      </c>
      <c r="C249" s="2" t="s">
        <v>7</v>
      </c>
      <c r="D249" s="2" t="s">
        <v>19</v>
      </c>
      <c r="E249" s="2" t="s">
        <v>1709</v>
      </c>
      <c r="F249" s="2" t="s">
        <v>1710</v>
      </c>
      <c r="G249" s="2"/>
    </row>
    <row r="250">
      <c r="A250" s="2">
        <v>11.0</v>
      </c>
      <c r="B250" s="2">
        <v>5.0</v>
      </c>
      <c r="C250" s="2" t="s">
        <v>7</v>
      </c>
      <c r="D250" s="2" t="s">
        <v>19</v>
      </c>
      <c r="E250" s="2" t="s">
        <v>1711</v>
      </c>
      <c r="F250" s="2" t="s">
        <v>1712</v>
      </c>
      <c r="G250" s="2"/>
    </row>
    <row r="251">
      <c r="A251" s="2">
        <v>11.0</v>
      </c>
      <c r="B251" s="2">
        <v>7.0</v>
      </c>
      <c r="C251" s="12" t="s">
        <v>59</v>
      </c>
      <c r="D251" s="2" t="s">
        <v>19</v>
      </c>
      <c r="E251" s="2" t="s">
        <v>1713</v>
      </c>
      <c r="F251" s="2" t="s">
        <v>1714</v>
      </c>
      <c r="G251" s="2"/>
    </row>
    <row r="252">
      <c r="A252" s="2">
        <v>11.0</v>
      </c>
      <c r="B252" s="2">
        <v>8.0</v>
      </c>
      <c r="C252" s="12" t="s">
        <v>59</v>
      </c>
      <c r="D252" s="2" t="s">
        <v>8</v>
      </c>
      <c r="E252" s="2" t="s">
        <v>1715</v>
      </c>
      <c r="F252" s="2" t="s">
        <v>1716</v>
      </c>
      <c r="G252" s="2"/>
    </row>
    <row r="253">
      <c r="A253" s="2">
        <v>11.0</v>
      </c>
      <c r="B253" s="2">
        <v>8.0</v>
      </c>
      <c r="C253" s="12" t="s">
        <v>59</v>
      </c>
      <c r="D253" s="2" t="s">
        <v>19</v>
      </c>
      <c r="E253" s="2" t="s">
        <v>1717</v>
      </c>
      <c r="F253" s="2" t="s">
        <v>1718</v>
      </c>
      <c r="G253" s="2"/>
    </row>
    <row r="254">
      <c r="A254" s="2">
        <v>11.0</v>
      </c>
      <c r="B254" s="2">
        <v>8.0</v>
      </c>
      <c r="C254" s="12" t="s">
        <v>59</v>
      </c>
      <c r="D254" s="2" t="s">
        <v>19</v>
      </c>
      <c r="E254" s="2" t="s">
        <v>1719</v>
      </c>
      <c r="F254" s="2" t="s">
        <v>1720</v>
      </c>
      <c r="G254" s="2"/>
    </row>
    <row r="255">
      <c r="A255" s="2">
        <v>11.0</v>
      </c>
      <c r="B255" s="2">
        <v>9.0</v>
      </c>
      <c r="C255" s="12" t="s">
        <v>59</v>
      </c>
      <c r="D255" s="2" t="s">
        <v>19</v>
      </c>
      <c r="E255" s="2" t="s">
        <v>1721</v>
      </c>
      <c r="F255" s="2" t="s">
        <v>1722</v>
      </c>
      <c r="G255" s="2"/>
    </row>
    <row r="256">
      <c r="A256" s="2">
        <v>11.0</v>
      </c>
      <c r="B256" s="2">
        <v>9.0</v>
      </c>
      <c r="C256" s="12" t="s">
        <v>59</v>
      </c>
      <c r="D256" s="2" t="s">
        <v>19</v>
      </c>
      <c r="E256" s="2" t="s">
        <v>1723</v>
      </c>
      <c r="F256" s="2" t="s">
        <v>1724</v>
      </c>
      <c r="G256" s="2"/>
    </row>
    <row r="257">
      <c r="A257" s="2">
        <v>11.0</v>
      </c>
      <c r="B257" s="2">
        <v>9.0</v>
      </c>
      <c r="C257" s="12" t="s">
        <v>59</v>
      </c>
      <c r="D257" s="2" t="s">
        <v>19</v>
      </c>
      <c r="E257" s="2" t="s">
        <v>1725</v>
      </c>
      <c r="F257" s="2" t="s">
        <v>1726</v>
      </c>
      <c r="G257" s="2"/>
    </row>
    <row r="258">
      <c r="A258" s="2">
        <v>11.0</v>
      </c>
      <c r="B258" s="2">
        <v>9.0</v>
      </c>
      <c r="C258" s="12" t="s">
        <v>59</v>
      </c>
      <c r="D258" s="2" t="s">
        <v>19</v>
      </c>
      <c r="E258" s="2" t="s">
        <v>1727</v>
      </c>
      <c r="F258" s="2" t="s">
        <v>1728</v>
      </c>
      <c r="G258" s="2"/>
    </row>
    <row r="259">
      <c r="A259" s="2">
        <v>11.0</v>
      </c>
      <c r="B259" s="2">
        <v>9.0</v>
      </c>
      <c r="C259" s="12" t="s">
        <v>59</v>
      </c>
      <c r="D259" s="2" t="s">
        <v>8</v>
      </c>
      <c r="E259" s="2" t="s">
        <v>1729</v>
      </c>
      <c r="F259" s="2" t="s">
        <v>1730</v>
      </c>
      <c r="G259" s="2"/>
    </row>
    <row r="260">
      <c r="A260" s="2">
        <v>11.0</v>
      </c>
      <c r="B260" s="2">
        <v>10.0</v>
      </c>
      <c r="C260" s="2" t="s">
        <v>40</v>
      </c>
      <c r="D260" s="2" t="s">
        <v>19</v>
      </c>
      <c r="E260" s="2" t="s">
        <v>1731</v>
      </c>
      <c r="F260" s="2" t="s">
        <v>1732</v>
      </c>
      <c r="G260" s="2"/>
    </row>
    <row r="261">
      <c r="A261" s="2">
        <v>11.0</v>
      </c>
      <c r="B261" s="2">
        <v>12.0</v>
      </c>
      <c r="C261" s="2" t="s">
        <v>28</v>
      </c>
      <c r="D261" s="2" t="s">
        <v>8</v>
      </c>
      <c r="E261" s="2" t="s">
        <v>1733</v>
      </c>
      <c r="F261" s="2" t="s">
        <v>1734</v>
      </c>
      <c r="G261" s="2"/>
    </row>
    <row r="262">
      <c r="A262" s="2">
        <v>11.0</v>
      </c>
      <c r="B262" s="2">
        <v>13.0</v>
      </c>
      <c r="C262" s="21" t="s">
        <v>47</v>
      </c>
      <c r="D262" s="2" t="s">
        <v>8</v>
      </c>
      <c r="E262" s="2" t="s">
        <v>1735</v>
      </c>
      <c r="F262" s="2" t="s">
        <v>1736</v>
      </c>
      <c r="G262" s="2"/>
    </row>
    <row r="263">
      <c r="A263" s="2">
        <v>11.0</v>
      </c>
      <c r="B263" s="2">
        <v>14.0</v>
      </c>
      <c r="C263" s="21" t="s">
        <v>47</v>
      </c>
      <c r="D263" s="2" t="s">
        <v>19</v>
      </c>
      <c r="E263" s="2" t="s">
        <v>1737</v>
      </c>
      <c r="F263" s="2" t="s">
        <v>1738</v>
      </c>
      <c r="G263" s="2"/>
    </row>
    <row r="264">
      <c r="A264" s="2">
        <v>11.0</v>
      </c>
      <c r="B264" s="2">
        <v>14.0</v>
      </c>
      <c r="C264" s="21" t="s">
        <v>47</v>
      </c>
      <c r="D264" s="2" t="s">
        <v>8</v>
      </c>
      <c r="E264" s="2" t="s">
        <v>1739</v>
      </c>
      <c r="F264" s="2" t="s">
        <v>1740</v>
      </c>
      <c r="G264" s="2"/>
    </row>
    <row r="265">
      <c r="A265" s="2">
        <v>11.0</v>
      </c>
      <c r="B265" s="2">
        <v>15.0</v>
      </c>
      <c r="C265" s="2" t="s">
        <v>72</v>
      </c>
      <c r="D265" s="2" t="s">
        <v>19</v>
      </c>
      <c r="E265" s="2" t="s">
        <v>1741</v>
      </c>
      <c r="F265" s="2" t="s">
        <v>1742</v>
      </c>
      <c r="G265" s="2"/>
    </row>
    <row r="266">
      <c r="A266" s="2">
        <v>11.0</v>
      </c>
      <c r="B266" s="2">
        <v>15.0</v>
      </c>
      <c r="C266" s="2" t="s">
        <v>72</v>
      </c>
      <c r="D266" s="2" t="s">
        <v>19</v>
      </c>
      <c r="E266" s="2" t="s">
        <v>1743</v>
      </c>
      <c r="F266" s="2" t="s">
        <v>1744</v>
      </c>
      <c r="G266" s="2"/>
    </row>
    <row r="267">
      <c r="A267" s="2">
        <v>11.0</v>
      </c>
      <c r="B267" s="2">
        <v>17.0</v>
      </c>
      <c r="C267" s="2" t="s">
        <v>33</v>
      </c>
      <c r="D267" s="2" t="s">
        <v>19</v>
      </c>
      <c r="E267" s="2" t="s">
        <v>1745</v>
      </c>
      <c r="F267" s="2" t="s">
        <v>1745</v>
      </c>
      <c r="G267" s="2"/>
    </row>
    <row r="268">
      <c r="A268" s="2">
        <v>11.0</v>
      </c>
      <c r="B268" s="2">
        <v>17.0</v>
      </c>
      <c r="C268" s="2" t="s">
        <v>33</v>
      </c>
      <c r="D268" s="2" t="s">
        <v>19</v>
      </c>
      <c r="E268" s="2" t="s">
        <v>1746</v>
      </c>
      <c r="F268" s="2" t="s">
        <v>1746</v>
      </c>
      <c r="G268" s="2"/>
    </row>
    <row r="269">
      <c r="A269" s="2">
        <v>11.0</v>
      </c>
      <c r="B269" s="2">
        <v>18.0</v>
      </c>
      <c r="C269" s="2" t="s">
        <v>33</v>
      </c>
      <c r="D269" s="2" t="s">
        <v>19</v>
      </c>
      <c r="E269" s="2" t="s">
        <v>1747</v>
      </c>
      <c r="F269" s="2" t="s">
        <v>1748</v>
      </c>
      <c r="G269" s="2"/>
    </row>
    <row r="270">
      <c r="A270" s="2">
        <v>11.0</v>
      </c>
      <c r="B270" s="2">
        <v>19.0</v>
      </c>
      <c r="C270" s="2" t="s">
        <v>54</v>
      </c>
      <c r="D270" s="2" t="s">
        <v>8</v>
      </c>
      <c r="E270" s="2" t="s">
        <v>1749</v>
      </c>
      <c r="F270" s="2" t="s">
        <v>1750</v>
      </c>
      <c r="G270" s="2"/>
    </row>
    <row r="271">
      <c r="A271" s="2">
        <v>11.0</v>
      </c>
      <c r="B271" s="2">
        <v>19.0</v>
      </c>
      <c r="C271" s="2" t="s">
        <v>54</v>
      </c>
      <c r="D271" s="2" t="s">
        <v>8</v>
      </c>
      <c r="E271" s="2" t="s">
        <v>1751</v>
      </c>
      <c r="F271" s="2" t="s">
        <v>1752</v>
      </c>
      <c r="G271" s="2"/>
    </row>
    <row r="272">
      <c r="A272" s="2">
        <v>11.0</v>
      </c>
      <c r="B272" s="2">
        <v>20.0</v>
      </c>
      <c r="C272" s="2" t="s">
        <v>176</v>
      </c>
      <c r="D272" s="2" t="s">
        <v>8</v>
      </c>
      <c r="E272" s="2" t="s">
        <v>1753</v>
      </c>
      <c r="F272" s="2" t="s">
        <v>1754</v>
      </c>
      <c r="G272" s="2"/>
    </row>
    <row r="273">
      <c r="A273" s="2">
        <v>12.0</v>
      </c>
      <c r="B273" s="2">
        <v>2.0</v>
      </c>
      <c r="C273" s="2" t="s">
        <v>451</v>
      </c>
      <c r="D273" s="2" t="s">
        <v>19</v>
      </c>
      <c r="E273" s="2" t="s">
        <v>1755</v>
      </c>
      <c r="F273" s="2" t="s">
        <v>1756</v>
      </c>
      <c r="G273" s="2"/>
    </row>
    <row r="274">
      <c r="A274" s="2">
        <v>12.0</v>
      </c>
      <c r="B274" s="2">
        <v>3.0</v>
      </c>
      <c r="C274" s="2" t="s">
        <v>451</v>
      </c>
      <c r="D274" s="2" t="s">
        <v>8</v>
      </c>
      <c r="E274" s="2" t="s">
        <v>1757</v>
      </c>
      <c r="F274" s="2" t="s">
        <v>1758</v>
      </c>
      <c r="G274" s="2"/>
    </row>
    <row r="275">
      <c r="A275" s="2">
        <v>12.0</v>
      </c>
      <c r="B275" s="2">
        <v>4.0</v>
      </c>
      <c r="C275" s="2" t="s">
        <v>451</v>
      </c>
      <c r="D275" s="2" t="s">
        <v>19</v>
      </c>
      <c r="E275" s="2" t="s">
        <v>1759</v>
      </c>
      <c r="F275" s="2" t="s">
        <v>1760</v>
      </c>
      <c r="G275" s="2"/>
    </row>
    <row r="276">
      <c r="A276" s="2">
        <v>12.0</v>
      </c>
      <c r="B276" s="2">
        <v>5.0</v>
      </c>
      <c r="C276" s="2" t="s">
        <v>451</v>
      </c>
      <c r="D276" s="2" t="s">
        <v>19</v>
      </c>
      <c r="E276" s="2" t="s">
        <v>1761</v>
      </c>
      <c r="F276" s="2" t="s">
        <v>1762</v>
      </c>
      <c r="G276" s="2"/>
    </row>
    <row r="277">
      <c r="A277" s="2">
        <v>12.0</v>
      </c>
      <c r="B277" s="2">
        <v>7.0</v>
      </c>
      <c r="C277" s="2" t="s">
        <v>7</v>
      </c>
      <c r="D277" s="2" t="s">
        <v>8</v>
      </c>
      <c r="E277" s="2" t="s">
        <v>1763</v>
      </c>
      <c r="F277" s="2" t="s">
        <v>1764</v>
      </c>
      <c r="G277" s="2"/>
    </row>
    <row r="278">
      <c r="A278" s="2">
        <v>12.0</v>
      </c>
      <c r="B278" s="2">
        <v>8.0</v>
      </c>
      <c r="C278" s="2" t="s">
        <v>7</v>
      </c>
      <c r="D278" s="2" t="s">
        <v>19</v>
      </c>
      <c r="E278" s="2" t="s">
        <v>1765</v>
      </c>
      <c r="F278" s="2" t="s">
        <v>1766</v>
      </c>
      <c r="G278" s="2"/>
    </row>
    <row r="279">
      <c r="A279" s="2">
        <v>12.0</v>
      </c>
      <c r="B279" s="2">
        <v>8.0</v>
      </c>
      <c r="C279" s="2" t="s">
        <v>7</v>
      </c>
      <c r="D279" s="2" t="s">
        <v>8</v>
      </c>
      <c r="E279" s="2" t="s">
        <v>1767</v>
      </c>
      <c r="F279" s="2" t="s">
        <v>1768</v>
      </c>
      <c r="G279" s="2"/>
    </row>
    <row r="280">
      <c r="A280" s="2">
        <v>12.0</v>
      </c>
      <c r="B280" s="2">
        <v>8.0</v>
      </c>
      <c r="C280" s="2" t="s">
        <v>7</v>
      </c>
      <c r="D280" s="2" t="s">
        <v>19</v>
      </c>
      <c r="E280" s="2" t="s">
        <v>1769</v>
      </c>
      <c r="F280" s="2" t="s">
        <v>1770</v>
      </c>
      <c r="G280" s="2"/>
    </row>
    <row r="281">
      <c r="A281" s="2">
        <v>12.0</v>
      </c>
      <c r="B281" s="2">
        <v>9.0</v>
      </c>
      <c r="C281" s="2" t="s">
        <v>7</v>
      </c>
      <c r="D281" s="2" t="s">
        <v>19</v>
      </c>
      <c r="E281" s="2" t="s">
        <v>1771</v>
      </c>
      <c r="F281" s="2" t="s">
        <v>1772</v>
      </c>
      <c r="G281" s="2"/>
    </row>
    <row r="282">
      <c r="A282" s="2">
        <v>12.0</v>
      </c>
      <c r="B282" s="2">
        <v>10.0</v>
      </c>
      <c r="C282" s="2" t="s">
        <v>7</v>
      </c>
      <c r="D282" s="2" t="s">
        <v>8</v>
      </c>
      <c r="E282" s="2" t="s">
        <v>1773</v>
      </c>
      <c r="F282" s="2" t="s">
        <v>1774</v>
      </c>
      <c r="G282" s="2"/>
    </row>
    <row r="283">
      <c r="A283" s="2">
        <v>12.0</v>
      </c>
      <c r="B283" s="2">
        <v>12.0</v>
      </c>
      <c r="C283" s="2" t="s">
        <v>7</v>
      </c>
      <c r="D283" s="2" t="s">
        <v>19</v>
      </c>
      <c r="E283" s="2" t="s">
        <v>1775</v>
      </c>
      <c r="F283" s="2" t="s">
        <v>1776</v>
      </c>
      <c r="G283" s="2"/>
    </row>
    <row r="284">
      <c r="A284" s="2">
        <v>12.0</v>
      </c>
      <c r="B284" s="2">
        <v>13.0</v>
      </c>
      <c r="C284" s="2" t="s">
        <v>7</v>
      </c>
      <c r="D284" s="2" t="s">
        <v>19</v>
      </c>
      <c r="E284" s="2" t="s">
        <v>1777</v>
      </c>
      <c r="F284" s="2" t="s">
        <v>1778</v>
      </c>
      <c r="G284" s="2"/>
    </row>
    <row r="285">
      <c r="A285" s="2">
        <v>12.0</v>
      </c>
      <c r="B285" s="2">
        <v>14.0</v>
      </c>
      <c r="C285" s="2" t="s">
        <v>7</v>
      </c>
      <c r="D285" s="2" t="s">
        <v>19</v>
      </c>
      <c r="E285" s="2" t="s">
        <v>1779</v>
      </c>
      <c r="F285" s="2" t="s">
        <v>1780</v>
      </c>
      <c r="G285" s="2"/>
    </row>
    <row r="286">
      <c r="A286" s="2">
        <v>12.0</v>
      </c>
      <c r="B286" s="2">
        <v>15.0</v>
      </c>
      <c r="C286" s="2" t="s">
        <v>7</v>
      </c>
      <c r="D286" s="2" t="s">
        <v>8</v>
      </c>
      <c r="E286" s="2" t="s">
        <v>1781</v>
      </c>
      <c r="F286" s="2" t="s">
        <v>1782</v>
      </c>
      <c r="G286" s="2"/>
    </row>
    <row r="287">
      <c r="A287" s="2">
        <v>12.0</v>
      </c>
      <c r="B287" s="2">
        <v>17.0</v>
      </c>
      <c r="C287" s="12" t="s">
        <v>59</v>
      </c>
      <c r="D287" s="2" t="s">
        <v>19</v>
      </c>
      <c r="E287" s="2" t="s">
        <v>1783</v>
      </c>
      <c r="F287" s="2" t="s">
        <v>1784</v>
      </c>
      <c r="G287" s="2"/>
    </row>
    <row r="288">
      <c r="A288" s="2">
        <v>12.0</v>
      </c>
      <c r="B288" s="2">
        <v>17.0</v>
      </c>
      <c r="C288" s="12" t="s">
        <v>59</v>
      </c>
      <c r="D288" s="2" t="s">
        <v>8</v>
      </c>
      <c r="E288" s="2" t="s">
        <v>1785</v>
      </c>
      <c r="F288" s="2" t="s">
        <v>1785</v>
      </c>
      <c r="G288" s="2"/>
    </row>
    <row r="289">
      <c r="A289" s="2">
        <v>12.0</v>
      </c>
      <c r="B289" s="2">
        <v>18.0</v>
      </c>
      <c r="C289" s="12" t="s">
        <v>59</v>
      </c>
      <c r="D289" s="2" t="s">
        <v>19</v>
      </c>
      <c r="E289" s="2" t="s">
        <v>1786</v>
      </c>
      <c r="F289" s="2" t="s">
        <v>1787</v>
      </c>
      <c r="G289" s="2"/>
    </row>
    <row r="290">
      <c r="A290" s="2">
        <v>12.0</v>
      </c>
      <c r="B290" s="2">
        <v>18.0</v>
      </c>
      <c r="C290" s="12" t="s">
        <v>59</v>
      </c>
      <c r="D290" s="2" t="s">
        <v>19</v>
      </c>
      <c r="E290" s="2" t="s">
        <v>1788</v>
      </c>
      <c r="F290" s="2" t="s">
        <v>1789</v>
      </c>
      <c r="G290" s="2"/>
    </row>
    <row r="291">
      <c r="A291" s="2">
        <v>12.0</v>
      </c>
      <c r="B291" s="2">
        <v>18.0</v>
      </c>
      <c r="C291" s="12" t="s">
        <v>59</v>
      </c>
      <c r="D291" s="2" t="s">
        <v>19</v>
      </c>
      <c r="E291" s="2" t="s">
        <v>1790</v>
      </c>
      <c r="F291" s="2" t="s">
        <v>1791</v>
      </c>
      <c r="G291" s="2"/>
    </row>
    <row r="292">
      <c r="A292" s="2">
        <v>12.0</v>
      </c>
      <c r="B292" s="2">
        <v>18.0</v>
      </c>
      <c r="C292" s="12" t="s">
        <v>59</v>
      </c>
      <c r="D292" s="2" t="s">
        <v>19</v>
      </c>
      <c r="E292" s="2" t="s">
        <v>1792</v>
      </c>
      <c r="F292" s="2" t="s">
        <v>1793</v>
      </c>
      <c r="G292" s="2"/>
    </row>
    <row r="293">
      <c r="A293" s="2">
        <v>12.0</v>
      </c>
      <c r="B293" s="2">
        <v>19.0</v>
      </c>
      <c r="C293" s="12" t="s">
        <v>59</v>
      </c>
      <c r="D293" s="2" t="s">
        <v>19</v>
      </c>
      <c r="E293" s="2" t="s">
        <v>1794</v>
      </c>
      <c r="F293" s="2" t="s">
        <v>1795</v>
      </c>
      <c r="G293" s="2"/>
    </row>
    <row r="294">
      <c r="A294" s="2">
        <v>12.0</v>
      </c>
      <c r="B294" s="2">
        <v>20.0</v>
      </c>
      <c r="C294" s="2" t="s">
        <v>40</v>
      </c>
      <c r="D294" s="2"/>
      <c r="E294" s="2"/>
      <c r="F294" s="2"/>
      <c r="G294" s="2"/>
    </row>
    <row r="295">
      <c r="A295" s="2">
        <v>12.0</v>
      </c>
      <c r="B295" s="2">
        <v>22.0</v>
      </c>
      <c r="C295" s="2" t="s">
        <v>40</v>
      </c>
      <c r="D295" s="2" t="s">
        <v>19</v>
      </c>
      <c r="E295" s="2" t="s">
        <v>1796</v>
      </c>
      <c r="F295" s="2" t="s">
        <v>1797</v>
      </c>
      <c r="G295" s="2"/>
    </row>
    <row r="296">
      <c r="A296" s="2">
        <v>12.0</v>
      </c>
      <c r="B296" s="2">
        <v>23.0</v>
      </c>
      <c r="C296" s="2" t="s">
        <v>40</v>
      </c>
      <c r="D296" s="2"/>
      <c r="E296" s="2"/>
      <c r="F296" s="2"/>
      <c r="G296" s="2"/>
    </row>
    <row r="297">
      <c r="A297" s="2">
        <v>12.0</v>
      </c>
      <c r="B297" s="2">
        <v>24.0</v>
      </c>
      <c r="C297" s="2" t="s">
        <v>40</v>
      </c>
      <c r="D297" s="2" t="s">
        <v>19</v>
      </c>
      <c r="E297" s="2" t="s">
        <v>1798</v>
      </c>
      <c r="F297" s="2" t="s">
        <v>1799</v>
      </c>
      <c r="G297" s="2"/>
    </row>
    <row r="298">
      <c r="A298" s="2">
        <v>12.0</v>
      </c>
      <c r="B298" s="2">
        <v>24.0</v>
      </c>
      <c r="C298" s="2" t="s">
        <v>40</v>
      </c>
      <c r="D298" s="2" t="s">
        <v>19</v>
      </c>
      <c r="E298" s="2" t="s">
        <v>1800</v>
      </c>
      <c r="F298" s="2" t="s">
        <v>1801</v>
      </c>
      <c r="G298" s="2"/>
    </row>
    <row r="299">
      <c r="A299" s="2">
        <v>12.0</v>
      </c>
      <c r="B299" s="2">
        <v>25.0</v>
      </c>
      <c r="C299" s="2" t="s">
        <v>40</v>
      </c>
      <c r="D299" s="2"/>
      <c r="E299" s="2"/>
      <c r="F299" s="2"/>
      <c r="G299" s="2"/>
    </row>
    <row r="300">
      <c r="A300" s="2">
        <v>12.0</v>
      </c>
      <c r="B300" s="2">
        <v>27.0</v>
      </c>
      <c r="C300" s="2" t="s">
        <v>40</v>
      </c>
      <c r="D300" s="2" t="s">
        <v>19</v>
      </c>
      <c r="E300" s="2" t="s">
        <v>1802</v>
      </c>
      <c r="F300" s="2" t="s">
        <v>1803</v>
      </c>
      <c r="G300" s="2"/>
    </row>
    <row r="301">
      <c r="A301" s="2">
        <v>12.0</v>
      </c>
      <c r="B301" s="2">
        <v>27.0</v>
      </c>
      <c r="C301" s="2" t="s">
        <v>40</v>
      </c>
      <c r="D301" s="2" t="s">
        <v>19</v>
      </c>
      <c r="E301" s="2" t="s">
        <v>1804</v>
      </c>
      <c r="F301" s="2" t="s">
        <v>1805</v>
      </c>
      <c r="G301" s="2"/>
    </row>
    <row r="302">
      <c r="A302" s="2">
        <v>12.0</v>
      </c>
      <c r="B302" s="2">
        <v>28.0</v>
      </c>
      <c r="C302" s="2" t="s">
        <v>40</v>
      </c>
      <c r="D302" s="2" t="s">
        <v>8</v>
      </c>
      <c r="E302" s="2" t="s">
        <v>1806</v>
      </c>
      <c r="F302" s="2" t="s">
        <v>1807</v>
      </c>
      <c r="G302" s="2"/>
    </row>
    <row r="303">
      <c r="A303" s="2">
        <v>12.0</v>
      </c>
      <c r="B303" s="2">
        <v>29.0</v>
      </c>
      <c r="C303" s="2" t="s">
        <v>40</v>
      </c>
      <c r="D303" s="2" t="s">
        <v>19</v>
      </c>
      <c r="E303" s="2" t="s">
        <v>1808</v>
      </c>
      <c r="F303" s="2" t="s">
        <v>1809</v>
      </c>
      <c r="G303" s="2"/>
    </row>
    <row r="304">
      <c r="A304" s="2">
        <v>12.0</v>
      </c>
      <c r="B304" s="2">
        <v>29.0</v>
      </c>
      <c r="C304" s="2" t="s">
        <v>40</v>
      </c>
      <c r="D304" s="2" t="s">
        <v>19</v>
      </c>
      <c r="E304" s="2" t="s">
        <v>1810</v>
      </c>
      <c r="F304" s="2" t="s">
        <v>1811</v>
      </c>
      <c r="G304" s="2"/>
    </row>
    <row r="305">
      <c r="A305" s="2">
        <v>12.0</v>
      </c>
      <c r="B305" s="2">
        <v>30.0</v>
      </c>
      <c r="C305" s="2" t="s">
        <v>28</v>
      </c>
      <c r="D305" s="2" t="s">
        <v>19</v>
      </c>
      <c r="E305" s="2" t="s">
        <v>1812</v>
      </c>
      <c r="F305" s="2" t="s">
        <v>1813</v>
      </c>
      <c r="G305" s="2"/>
    </row>
    <row r="306">
      <c r="A306" s="2">
        <v>12.0</v>
      </c>
      <c r="B306" s="2">
        <v>32.0</v>
      </c>
      <c r="C306" s="2" t="s">
        <v>28</v>
      </c>
      <c r="D306" s="2" t="s">
        <v>19</v>
      </c>
      <c r="E306" s="2" t="s">
        <v>1814</v>
      </c>
      <c r="F306" s="2" t="s">
        <v>1815</v>
      </c>
      <c r="G306" s="2"/>
    </row>
    <row r="307">
      <c r="A307" s="2">
        <v>12.0</v>
      </c>
      <c r="B307" s="2">
        <v>33.0</v>
      </c>
      <c r="C307" s="2" t="s">
        <v>28</v>
      </c>
      <c r="D307" s="2" t="s">
        <v>19</v>
      </c>
      <c r="E307" s="2" t="s">
        <v>1816</v>
      </c>
      <c r="F307" s="2" t="s">
        <v>1817</v>
      </c>
      <c r="G307" s="2"/>
    </row>
    <row r="308">
      <c r="A308" s="2">
        <v>12.0</v>
      </c>
      <c r="B308" s="2">
        <v>34.0</v>
      </c>
      <c r="C308" s="21" t="s">
        <v>47</v>
      </c>
      <c r="D308" s="2" t="s">
        <v>19</v>
      </c>
      <c r="E308" s="2" t="s">
        <v>1818</v>
      </c>
      <c r="F308" s="2" t="s">
        <v>1819</v>
      </c>
      <c r="G308" s="2"/>
    </row>
    <row r="309">
      <c r="A309" s="2">
        <v>12.0</v>
      </c>
      <c r="B309" s="2">
        <v>35.0</v>
      </c>
      <c r="C309" s="21" t="s">
        <v>47</v>
      </c>
      <c r="D309" s="2"/>
      <c r="E309" s="2"/>
      <c r="F309" s="2"/>
      <c r="G309" s="2"/>
    </row>
    <row r="310">
      <c r="A310" s="2">
        <v>12.0</v>
      </c>
      <c r="B310" s="2">
        <v>37.0</v>
      </c>
      <c r="C310" s="21" t="s">
        <v>47</v>
      </c>
      <c r="D310" s="2" t="s">
        <v>19</v>
      </c>
      <c r="E310" s="2" t="s">
        <v>1820</v>
      </c>
      <c r="F310" s="2" t="s">
        <v>1821</v>
      </c>
      <c r="G310" s="2"/>
    </row>
    <row r="311">
      <c r="A311" s="2">
        <v>12.0</v>
      </c>
      <c r="B311" s="2">
        <v>38.0</v>
      </c>
      <c r="C311" s="2" t="s">
        <v>72</v>
      </c>
      <c r="D311" s="2" t="s">
        <v>19</v>
      </c>
      <c r="E311" s="2" t="s">
        <v>1822</v>
      </c>
      <c r="F311" s="2" t="s">
        <v>1823</v>
      </c>
      <c r="G311" s="2"/>
    </row>
    <row r="312">
      <c r="A312" s="2">
        <v>12.0</v>
      </c>
      <c r="B312" s="2">
        <v>38.0</v>
      </c>
      <c r="C312" s="2" t="s">
        <v>72</v>
      </c>
      <c r="D312" s="2" t="s">
        <v>19</v>
      </c>
      <c r="E312" s="2" t="s">
        <v>1824</v>
      </c>
      <c r="F312" s="2" t="s">
        <v>1825</v>
      </c>
      <c r="G312" s="2"/>
    </row>
    <row r="313">
      <c r="A313" s="2">
        <v>12.0</v>
      </c>
      <c r="B313" s="2">
        <v>39.0</v>
      </c>
      <c r="C313" s="2" t="s">
        <v>72</v>
      </c>
      <c r="D313" s="2" t="s">
        <v>8</v>
      </c>
      <c r="E313" s="2" t="s">
        <v>1826</v>
      </c>
      <c r="F313" s="2" t="s">
        <v>1827</v>
      </c>
      <c r="G313" s="2"/>
    </row>
    <row r="314">
      <c r="A314" s="2">
        <v>12.0</v>
      </c>
      <c r="B314" s="2">
        <v>39.0</v>
      </c>
      <c r="C314" s="2" t="s">
        <v>72</v>
      </c>
      <c r="D314" s="2" t="s">
        <v>8</v>
      </c>
      <c r="E314" s="2" t="s">
        <v>1828</v>
      </c>
      <c r="F314" s="2" t="s">
        <v>1829</v>
      </c>
      <c r="G314" s="2"/>
    </row>
    <row r="315">
      <c r="A315" s="2">
        <v>12.0</v>
      </c>
      <c r="B315" s="2">
        <v>40.0</v>
      </c>
      <c r="C315" s="2" t="s">
        <v>72</v>
      </c>
      <c r="D315" s="2" t="s">
        <v>19</v>
      </c>
      <c r="E315" s="2" t="s">
        <v>1830</v>
      </c>
      <c r="F315" s="2" t="s">
        <v>1831</v>
      </c>
      <c r="G315" s="2"/>
    </row>
    <row r="316">
      <c r="A316" s="2">
        <v>12.0</v>
      </c>
      <c r="B316" s="2">
        <v>42.0</v>
      </c>
      <c r="C316" s="2" t="s">
        <v>72</v>
      </c>
      <c r="D316" s="2"/>
      <c r="E316" s="2"/>
      <c r="F316" s="2"/>
      <c r="G316" s="2"/>
    </row>
    <row r="317">
      <c r="A317" s="2">
        <v>12.0</v>
      </c>
      <c r="B317" s="2">
        <v>43.0</v>
      </c>
      <c r="C317" s="2" t="s">
        <v>33</v>
      </c>
      <c r="D317" s="2" t="s">
        <v>19</v>
      </c>
      <c r="E317" s="2" t="s">
        <v>1832</v>
      </c>
      <c r="F317" s="2" t="s">
        <v>1833</v>
      </c>
      <c r="G317" s="2"/>
    </row>
    <row r="318">
      <c r="A318" s="2">
        <v>12.0</v>
      </c>
      <c r="B318" s="2">
        <v>44.0</v>
      </c>
      <c r="C318" s="2" t="s">
        <v>33</v>
      </c>
      <c r="D318" s="2" t="s">
        <v>19</v>
      </c>
      <c r="E318" s="2" t="s">
        <v>1834</v>
      </c>
      <c r="F318" s="2" t="s">
        <v>1835</v>
      </c>
      <c r="G318" s="2"/>
    </row>
    <row r="319">
      <c r="A319" s="2">
        <v>12.0</v>
      </c>
      <c r="B319" s="2">
        <v>45.0</v>
      </c>
      <c r="C319" s="2" t="s">
        <v>33</v>
      </c>
      <c r="D319" s="2"/>
      <c r="E319" s="2"/>
      <c r="F319" s="2"/>
      <c r="G319" s="2"/>
    </row>
    <row r="320">
      <c r="A320" s="2">
        <v>12.0</v>
      </c>
      <c r="B320" s="2">
        <v>47.0</v>
      </c>
      <c r="C320" s="2" t="s">
        <v>33</v>
      </c>
      <c r="D320" s="2"/>
      <c r="E320" s="2"/>
      <c r="F320" s="2"/>
      <c r="G320" s="2"/>
    </row>
    <row r="321">
      <c r="A321" s="2">
        <v>12.0</v>
      </c>
      <c r="B321" s="2">
        <v>48.0</v>
      </c>
      <c r="C321" s="2" t="s">
        <v>33</v>
      </c>
      <c r="D321" s="2" t="s">
        <v>19</v>
      </c>
      <c r="E321" s="2" t="s">
        <v>1836</v>
      </c>
      <c r="F321" s="2" t="s">
        <v>1837</v>
      </c>
      <c r="G321" s="2"/>
    </row>
    <row r="322">
      <c r="A322" s="2">
        <v>12.0</v>
      </c>
      <c r="B322" s="2">
        <v>49.0</v>
      </c>
      <c r="C322" s="2" t="s">
        <v>54</v>
      </c>
      <c r="D322" s="2" t="s">
        <v>8</v>
      </c>
      <c r="E322" s="2" t="s">
        <v>1838</v>
      </c>
      <c r="F322" s="2" t="s">
        <v>1839</v>
      </c>
      <c r="G322" s="2"/>
    </row>
    <row r="323">
      <c r="A323" s="2">
        <v>12.0</v>
      </c>
      <c r="B323" s="2">
        <v>50.0</v>
      </c>
      <c r="C323" s="2" t="s">
        <v>54</v>
      </c>
      <c r="D323" s="2" t="s">
        <v>19</v>
      </c>
      <c r="E323" s="2" t="s">
        <v>1840</v>
      </c>
      <c r="F323" s="2" t="s">
        <v>1841</v>
      </c>
      <c r="G323" s="2"/>
    </row>
    <row r="324">
      <c r="A324" s="2">
        <v>12.0</v>
      </c>
      <c r="B324" s="2">
        <v>52.0</v>
      </c>
      <c r="C324" s="2" t="s">
        <v>176</v>
      </c>
      <c r="D324" s="2"/>
      <c r="E324" s="2"/>
      <c r="F324" s="2"/>
      <c r="G324" s="2"/>
    </row>
    <row r="325">
      <c r="A325" s="2">
        <v>12.0</v>
      </c>
      <c r="B325" s="2">
        <v>53.0</v>
      </c>
      <c r="C325" s="2" t="s">
        <v>176</v>
      </c>
      <c r="D325" s="2"/>
      <c r="E325" s="2"/>
      <c r="F325" s="2"/>
      <c r="G325" s="2"/>
    </row>
    <row r="326">
      <c r="A326" s="2">
        <v>12.0</v>
      </c>
      <c r="B326" s="2">
        <v>54.0</v>
      </c>
      <c r="C326" s="2" t="s">
        <v>176</v>
      </c>
      <c r="D326" s="2"/>
      <c r="E326" s="2"/>
      <c r="F326" s="2"/>
      <c r="G326" s="2"/>
    </row>
    <row r="327">
      <c r="A327" s="2">
        <v>12.0</v>
      </c>
      <c r="B327" s="2">
        <v>55.0</v>
      </c>
      <c r="C327" s="2" t="s">
        <v>176</v>
      </c>
      <c r="D327" s="2"/>
      <c r="E327" s="2"/>
      <c r="F327" s="2"/>
      <c r="G327" s="2"/>
    </row>
    <row r="328">
      <c r="A328" s="2">
        <v>13.0</v>
      </c>
      <c r="B328" s="2">
        <v>2.0</v>
      </c>
      <c r="C328" s="2" t="s">
        <v>7</v>
      </c>
      <c r="D328" s="2" t="s">
        <v>19</v>
      </c>
      <c r="E328" s="2" t="s">
        <v>1842</v>
      </c>
      <c r="F328" s="2" t="s">
        <v>1843</v>
      </c>
      <c r="G328" s="2"/>
    </row>
    <row r="329">
      <c r="A329" s="2">
        <v>13.0</v>
      </c>
      <c r="B329" s="2">
        <v>2.0</v>
      </c>
      <c r="C329" s="2" t="s">
        <v>7</v>
      </c>
      <c r="D329" s="2" t="s">
        <v>19</v>
      </c>
      <c r="E329" s="2" t="s">
        <v>1844</v>
      </c>
      <c r="F329" s="2" t="s">
        <v>1845</v>
      </c>
      <c r="G329" s="2"/>
    </row>
    <row r="330">
      <c r="A330" s="2">
        <v>13.0</v>
      </c>
      <c r="B330" s="2">
        <v>3.0</v>
      </c>
      <c r="C330" s="2" t="s">
        <v>7</v>
      </c>
      <c r="D330" s="2" t="s">
        <v>8</v>
      </c>
      <c r="E330" s="2" t="s">
        <v>1846</v>
      </c>
      <c r="F330" s="2" t="s">
        <v>1847</v>
      </c>
      <c r="G330" s="2"/>
    </row>
    <row r="331">
      <c r="A331" s="2">
        <v>13.0</v>
      </c>
      <c r="B331" s="2">
        <v>4.0</v>
      </c>
      <c r="C331" s="2" t="s">
        <v>7</v>
      </c>
      <c r="D331" s="2" t="s">
        <v>8</v>
      </c>
      <c r="E331" s="2" t="s">
        <v>1848</v>
      </c>
      <c r="F331" s="2" t="s">
        <v>1849</v>
      </c>
      <c r="G331" s="2"/>
    </row>
    <row r="332">
      <c r="A332" s="2">
        <v>13.0</v>
      </c>
      <c r="B332" s="2">
        <v>5.0</v>
      </c>
      <c r="C332" s="2" t="s">
        <v>7</v>
      </c>
      <c r="D332" s="2" t="s">
        <v>8</v>
      </c>
      <c r="E332" s="2" t="s">
        <v>1850</v>
      </c>
      <c r="F332" s="2" t="s">
        <v>1851</v>
      </c>
      <c r="G332" s="2"/>
    </row>
    <row r="333">
      <c r="A333" s="2">
        <v>13.0</v>
      </c>
      <c r="B333" s="2">
        <v>5.0</v>
      </c>
      <c r="C333" s="2" t="s">
        <v>7</v>
      </c>
      <c r="D333" s="2" t="s">
        <v>19</v>
      </c>
      <c r="E333" s="2" t="s">
        <v>1852</v>
      </c>
      <c r="F333" s="2" t="s">
        <v>1853</v>
      </c>
      <c r="G333" s="2"/>
    </row>
    <row r="334">
      <c r="A334" s="2">
        <v>13.0</v>
      </c>
      <c r="B334" s="2">
        <v>7.0</v>
      </c>
      <c r="C334" s="12" t="s">
        <v>59</v>
      </c>
      <c r="D334" s="2" t="s">
        <v>8</v>
      </c>
      <c r="E334" s="2" t="s">
        <v>1854</v>
      </c>
      <c r="F334" s="2" t="s">
        <v>1855</v>
      </c>
      <c r="G334" s="2"/>
    </row>
    <row r="335">
      <c r="A335" s="2">
        <v>13.0</v>
      </c>
      <c r="B335" s="2">
        <v>8.0</v>
      </c>
      <c r="C335" s="12" t="s">
        <v>59</v>
      </c>
      <c r="D335" s="2" t="s">
        <v>19</v>
      </c>
      <c r="E335" s="2" t="s">
        <v>1856</v>
      </c>
      <c r="F335" s="2" t="s">
        <v>1857</v>
      </c>
      <c r="G335" s="2"/>
    </row>
    <row r="336">
      <c r="A336" s="2">
        <v>13.0</v>
      </c>
      <c r="B336" s="2">
        <v>9.0</v>
      </c>
      <c r="C336" s="12" t="s">
        <v>59</v>
      </c>
      <c r="D336" s="2" t="s">
        <v>8</v>
      </c>
      <c r="E336" s="2" t="s">
        <v>1858</v>
      </c>
      <c r="F336" s="2" t="s">
        <v>1859</v>
      </c>
      <c r="G336" s="2"/>
    </row>
    <row r="337">
      <c r="A337" s="2">
        <v>13.0</v>
      </c>
      <c r="B337" s="2">
        <v>10.0</v>
      </c>
      <c r="C337" s="12" t="s">
        <v>59</v>
      </c>
      <c r="D337" s="2" t="s">
        <v>19</v>
      </c>
      <c r="E337" s="2" t="s">
        <v>833</v>
      </c>
      <c r="F337" s="2" t="s">
        <v>1860</v>
      </c>
      <c r="G337" s="2"/>
    </row>
    <row r="338">
      <c r="A338" s="2">
        <v>13.0</v>
      </c>
      <c r="B338" s="2">
        <v>12.0</v>
      </c>
      <c r="C338" s="2" t="s">
        <v>28</v>
      </c>
      <c r="D338" s="2" t="s">
        <v>19</v>
      </c>
      <c r="E338" s="2" t="s">
        <v>1861</v>
      </c>
      <c r="F338" s="2" t="s">
        <v>1862</v>
      </c>
      <c r="G338" s="2"/>
    </row>
    <row r="339">
      <c r="A339" s="2">
        <v>13.0</v>
      </c>
      <c r="B339" s="2">
        <v>13.0</v>
      </c>
      <c r="C339" s="2" t="s">
        <v>28</v>
      </c>
      <c r="D339" s="2" t="s">
        <v>19</v>
      </c>
      <c r="E339" s="2" t="s">
        <v>1863</v>
      </c>
      <c r="F339" s="2" t="s">
        <v>1863</v>
      </c>
      <c r="G339" s="2"/>
    </row>
    <row r="340">
      <c r="A340" s="2">
        <v>13.0</v>
      </c>
      <c r="B340" s="2">
        <v>14.0</v>
      </c>
      <c r="C340" s="21" t="s">
        <v>47</v>
      </c>
      <c r="D340" s="2" t="s">
        <v>19</v>
      </c>
      <c r="E340" s="2" t="s">
        <v>1864</v>
      </c>
      <c r="F340" s="2" t="s">
        <v>1865</v>
      </c>
      <c r="G340" s="2"/>
    </row>
    <row r="341">
      <c r="A341" s="2">
        <v>13.0</v>
      </c>
      <c r="B341" s="2">
        <v>15.0</v>
      </c>
      <c r="C341" s="21" t="s">
        <v>47</v>
      </c>
      <c r="D341" s="2" t="s">
        <v>19</v>
      </c>
      <c r="E341" s="2" t="s">
        <v>1866</v>
      </c>
      <c r="F341" s="2" t="s">
        <v>1867</v>
      </c>
      <c r="G341" s="2"/>
    </row>
    <row r="342">
      <c r="A342" s="2">
        <v>13.0</v>
      </c>
      <c r="B342" s="2">
        <v>15.0</v>
      </c>
      <c r="C342" s="21" t="s">
        <v>47</v>
      </c>
      <c r="D342" s="2" t="s">
        <v>19</v>
      </c>
      <c r="E342" s="2" t="s">
        <v>1868</v>
      </c>
      <c r="F342" s="2" t="s">
        <v>1869</v>
      </c>
      <c r="G342" s="2"/>
    </row>
    <row r="343">
      <c r="A343" s="2">
        <v>13.0</v>
      </c>
      <c r="B343" s="2">
        <v>17.0</v>
      </c>
      <c r="C343" s="2" t="s">
        <v>72</v>
      </c>
      <c r="D343" s="2" t="s">
        <v>8</v>
      </c>
      <c r="E343" s="2" t="s">
        <v>1870</v>
      </c>
      <c r="F343" s="2" t="s">
        <v>1871</v>
      </c>
      <c r="G343" s="2"/>
    </row>
    <row r="344">
      <c r="A344" s="2">
        <v>13.0</v>
      </c>
      <c r="B344" s="2">
        <v>17.0</v>
      </c>
      <c r="C344" s="2" t="s">
        <v>72</v>
      </c>
      <c r="D344" s="2" t="s">
        <v>19</v>
      </c>
      <c r="E344" s="2" t="s">
        <v>1872</v>
      </c>
      <c r="F344" s="2" t="s">
        <v>1873</v>
      </c>
      <c r="G344" s="2"/>
    </row>
    <row r="345">
      <c r="A345" s="2">
        <v>13.0</v>
      </c>
      <c r="B345" s="2">
        <v>18.0</v>
      </c>
      <c r="C345" s="2" t="s">
        <v>33</v>
      </c>
      <c r="D345" s="2" t="s">
        <v>8</v>
      </c>
      <c r="E345" s="2" t="s">
        <v>1874</v>
      </c>
      <c r="F345" s="2" t="s">
        <v>1875</v>
      </c>
      <c r="G345" s="2"/>
    </row>
    <row r="346">
      <c r="A346" s="2">
        <v>13.0</v>
      </c>
      <c r="B346" s="2">
        <v>19.0</v>
      </c>
      <c r="C346" s="2" t="s">
        <v>33</v>
      </c>
      <c r="D346" s="2" t="s">
        <v>19</v>
      </c>
      <c r="E346" s="2" t="s">
        <v>1876</v>
      </c>
      <c r="F346" s="2" t="s">
        <v>1877</v>
      </c>
      <c r="G346" s="2"/>
    </row>
    <row r="347">
      <c r="A347" s="2">
        <v>13.0</v>
      </c>
      <c r="B347" s="2">
        <v>20.0</v>
      </c>
      <c r="C347" s="2" t="s">
        <v>54</v>
      </c>
      <c r="D347" s="2" t="s">
        <v>19</v>
      </c>
      <c r="E347" s="2" t="s">
        <v>1878</v>
      </c>
      <c r="F347" s="2" t="s">
        <v>1879</v>
      </c>
      <c r="G347" s="2"/>
    </row>
    <row r="348">
      <c r="A348" s="2">
        <v>13.0</v>
      </c>
      <c r="B348" s="2">
        <v>22.0</v>
      </c>
      <c r="C348" s="2" t="s">
        <v>176</v>
      </c>
      <c r="D348" s="2" t="s">
        <v>19</v>
      </c>
      <c r="E348" s="2" t="s">
        <v>1880</v>
      </c>
      <c r="F348" s="2" t="s">
        <v>1881</v>
      </c>
      <c r="G348" s="2"/>
    </row>
    <row r="349">
      <c r="A349" s="2">
        <v>13.0</v>
      </c>
      <c r="B349" s="2">
        <v>23.0</v>
      </c>
      <c r="C349" s="2" t="s">
        <v>176</v>
      </c>
      <c r="D349" s="2" t="s">
        <v>19</v>
      </c>
      <c r="E349" s="2" t="s">
        <v>1882</v>
      </c>
      <c r="F349" s="2" t="s">
        <v>1883</v>
      </c>
      <c r="G349" s="2"/>
    </row>
    <row r="350">
      <c r="A350" s="2">
        <v>13.0</v>
      </c>
      <c r="B350" s="2">
        <v>24.0</v>
      </c>
      <c r="C350" s="2" t="s">
        <v>176</v>
      </c>
      <c r="D350" s="2" t="s">
        <v>19</v>
      </c>
      <c r="E350" s="2" t="s">
        <v>1884</v>
      </c>
      <c r="F350" s="2" t="s">
        <v>1885</v>
      </c>
      <c r="G350" s="2"/>
    </row>
    <row r="351">
      <c r="A351" s="2">
        <v>13.0</v>
      </c>
      <c r="B351" s="2">
        <v>25.0</v>
      </c>
      <c r="C351" s="2" t="s">
        <v>176</v>
      </c>
      <c r="D351" s="2" t="s">
        <v>8</v>
      </c>
      <c r="E351" s="2" t="s">
        <v>1886</v>
      </c>
      <c r="F351" s="2" t="s">
        <v>1887</v>
      </c>
      <c r="G351" s="2"/>
    </row>
    <row r="352">
      <c r="A352" s="2">
        <v>14.0</v>
      </c>
      <c r="B352" s="2">
        <v>2.0</v>
      </c>
      <c r="C352" s="2" t="s">
        <v>7</v>
      </c>
      <c r="D352" s="2" t="s">
        <v>19</v>
      </c>
      <c r="E352" s="2" t="s">
        <v>1888</v>
      </c>
      <c r="F352" s="2" t="s">
        <v>1889</v>
      </c>
      <c r="G352" s="2"/>
    </row>
    <row r="353">
      <c r="A353" s="2">
        <v>14.0</v>
      </c>
      <c r="B353" s="2">
        <v>3.0</v>
      </c>
      <c r="C353" s="2" t="s">
        <v>7</v>
      </c>
      <c r="D353" s="2" t="s">
        <v>19</v>
      </c>
      <c r="E353" s="2" t="s">
        <v>1890</v>
      </c>
      <c r="F353" s="2" t="s">
        <v>1891</v>
      </c>
      <c r="G353" s="2"/>
    </row>
    <row r="354">
      <c r="A354" s="2">
        <v>14.0</v>
      </c>
      <c r="B354" s="2">
        <v>3.0</v>
      </c>
      <c r="C354" s="2" t="s">
        <v>7</v>
      </c>
      <c r="D354" s="2" t="s">
        <v>19</v>
      </c>
      <c r="E354" s="2" t="s">
        <v>1892</v>
      </c>
      <c r="F354" s="2" t="s">
        <v>1893</v>
      </c>
      <c r="G354" s="2"/>
    </row>
    <row r="355">
      <c r="A355" s="2">
        <v>14.0</v>
      </c>
      <c r="B355" s="2">
        <v>4.0</v>
      </c>
      <c r="C355" s="2" t="s">
        <v>7</v>
      </c>
      <c r="D355" s="2" t="s">
        <v>8</v>
      </c>
      <c r="E355" s="2" t="s">
        <v>1894</v>
      </c>
      <c r="F355" s="2" t="s">
        <v>1895</v>
      </c>
      <c r="G355" s="2"/>
    </row>
    <row r="356">
      <c r="A356" s="2">
        <v>14.0</v>
      </c>
      <c r="B356" s="2">
        <v>4.0</v>
      </c>
      <c r="C356" s="2" t="s">
        <v>7</v>
      </c>
      <c r="D356" s="2" t="s">
        <v>19</v>
      </c>
      <c r="E356" s="2" t="s">
        <v>851</v>
      </c>
      <c r="F356" s="2" t="s">
        <v>1896</v>
      </c>
      <c r="G356" s="2"/>
    </row>
    <row r="357">
      <c r="A357" s="2">
        <v>14.0</v>
      </c>
      <c r="B357" s="2">
        <v>4.0</v>
      </c>
      <c r="C357" s="2" t="s">
        <v>7</v>
      </c>
      <c r="D357" s="2" t="s">
        <v>8</v>
      </c>
      <c r="E357" s="2" t="s">
        <v>1897</v>
      </c>
      <c r="F357" s="2" t="s">
        <v>1898</v>
      </c>
      <c r="G357" s="2"/>
    </row>
    <row r="358">
      <c r="A358" s="2">
        <v>14.0</v>
      </c>
      <c r="B358" s="2">
        <v>5.0</v>
      </c>
      <c r="C358" s="2" t="s">
        <v>7</v>
      </c>
      <c r="D358" s="2" t="s">
        <v>8</v>
      </c>
      <c r="E358" s="2" t="s">
        <v>1899</v>
      </c>
      <c r="F358" s="2" t="s">
        <v>1900</v>
      </c>
      <c r="G358" s="2"/>
    </row>
    <row r="359">
      <c r="A359" s="2">
        <v>14.0</v>
      </c>
      <c r="B359" s="2">
        <v>5.0</v>
      </c>
      <c r="C359" s="2" t="s">
        <v>7</v>
      </c>
      <c r="D359" s="2" t="s">
        <v>8</v>
      </c>
      <c r="E359" s="2" t="s">
        <v>1901</v>
      </c>
      <c r="F359" s="2" t="s">
        <v>1902</v>
      </c>
      <c r="G359" s="2"/>
    </row>
    <row r="360">
      <c r="A360" s="2">
        <v>14.0</v>
      </c>
      <c r="B360" s="2">
        <v>7.0</v>
      </c>
      <c r="C360" s="2" t="s">
        <v>7</v>
      </c>
      <c r="D360" s="2" t="s">
        <v>19</v>
      </c>
      <c r="E360" s="2" t="s">
        <v>1903</v>
      </c>
      <c r="F360" s="2" t="s">
        <v>1904</v>
      </c>
      <c r="G360" s="2"/>
    </row>
    <row r="361">
      <c r="A361" s="2">
        <v>14.0</v>
      </c>
      <c r="B361" s="2">
        <v>8.0</v>
      </c>
      <c r="C361" s="2" t="s">
        <v>7</v>
      </c>
      <c r="D361" s="2" t="s">
        <v>19</v>
      </c>
      <c r="E361" s="2" t="s">
        <v>1905</v>
      </c>
      <c r="F361" s="2" t="s">
        <v>1906</v>
      </c>
      <c r="G361" s="2"/>
    </row>
    <row r="362">
      <c r="A362" s="2">
        <v>14.0</v>
      </c>
      <c r="B362" s="2">
        <v>8.0</v>
      </c>
      <c r="C362" s="2" t="s">
        <v>7</v>
      </c>
      <c r="D362" s="2" t="s">
        <v>8</v>
      </c>
      <c r="E362" s="2" t="s">
        <v>1907</v>
      </c>
      <c r="F362" s="2" t="s">
        <v>1908</v>
      </c>
      <c r="G362" s="2"/>
    </row>
    <row r="363">
      <c r="A363" s="2">
        <v>14.0</v>
      </c>
      <c r="B363" s="2">
        <v>8.0</v>
      </c>
      <c r="C363" s="2" t="s">
        <v>7</v>
      </c>
      <c r="D363" s="2" t="s">
        <v>19</v>
      </c>
      <c r="E363" s="2" t="s">
        <v>1909</v>
      </c>
      <c r="F363" s="2" t="s">
        <v>1910</v>
      </c>
      <c r="G363" s="2"/>
    </row>
    <row r="364">
      <c r="A364" s="2">
        <v>14.0</v>
      </c>
      <c r="B364" s="2">
        <v>9.0</v>
      </c>
      <c r="C364" s="12" t="s">
        <v>59</v>
      </c>
      <c r="D364" s="2" t="s">
        <v>8</v>
      </c>
      <c r="E364" s="2" t="s">
        <v>1911</v>
      </c>
      <c r="F364" s="2" t="s">
        <v>1912</v>
      </c>
      <c r="G364" s="2"/>
    </row>
    <row r="365">
      <c r="A365" s="2">
        <v>14.0</v>
      </c>
      <c r="B365" s="2">
        <v>9.0</v>
      </c>
      <c r="C365" s="12" t="s">
        <v>59</v>
      </c>
      <c r="D365" s="2" t="s">
        <v>8</v>
      </c>
      <c r="E365" s="2" t="s">
        <v>1913</v>
      </c>
      <c r="F365" s="2" t="s">
        <v>1914</v>
      </c>
      <c r="G365" s="2"/>
    </row>
    <row r="366">
      <c r="A366" s="2">
        <v>14.0</v>
      </c>
      <c r="B366" s="2">
        <v>10.0</v>
      </c>
      <c r="C366" s="12" t="s">
        <v>59</v>
      </c>
      <c r="D366" s="2" t="s">
        <v>8</v>
      </c>
      <c r="E366" s="2" t="s">
        <v>1915</v>
      </c>
      <c r="F366" s="2" t="s">
        <v>1916</v>
      </c>
      <c r="G366" s="2"/>
    </row>
    <row r="367">
      <c r="A367" s="2">
        <v>14.0</v>
      </c>
      <c r="B367" s="2">
        <v>10.0</v>
      </c>
      <c r="C367" s="12" t="s">
        <v>59</v>
      </c>
      <c r="D367" s="2" t="s">
        <v>8</v>
      </c>
      <c r="E367" s="2" t="s">
        <v>1917</v>
      </c>
      <c r="F367" s="2" t="s">
        <v>1918</v>
      </c>
      <c r="G367" s="2"/>
    </row>
    <row r="368">
      <c r="A368" s="2">
        <v>14.0</v>
      </c>
      <c r="B368" s="2">
        <v>12.0</v>
      </c>
      <c r="C368" s="2" t="s">
        <v>40</v>
      </c>
      <c r="D368" s="2" t="s">
        <v>19</v>
      </c>
      <c r="E368" s="2" t="s">
        <v>1919</v>
      </c>
      <c r="F368" s="2" t="s">
        <v>1920</v>
      </c>
      <c r="G368" s="2"/>
    </row>
    <row r="369">
      <c r="A369" s="2">
        <v>14.0</v>
      </c>
      <c r="B369" s="2">
        <v>12.0</v>
      </c>
      <c r="C369" s="2" t="s">
        <v>40</v>
      </c>
      <c r="D369" s="2" t="s">
        <v>8</v>
      </c>
      <c r="E369" s="2" t="s">
        <v>1921</v>
      </c>
      <c r="F369" s="2" t="s">
        <v>1922</v>
      </c>
      <c r="G369" s="2"/>
    </row>
    <row r="370">
      <c r="A370" s="2">
        <v>14.0</v>
      </c>
      <c r="B370" s="2">
        <v>12.0</v>
      </c>
      <c r="C370" s="2" t="s">
        <v>40</v>
      </c>
      <c r="D370" s="2" t="s">
        <v>19</v>
      </c>
      <c r="E370" s="2" t="s">
        <v>1923</v>
      </c>
      <c r="F370" s="2" t="s">
        <v>1924</v>
      </c>
      <c r="G370" s="2"/>
    </row>
    <row r="371">
      <c r="A371" s="2">
        <v>14.0</v>
      </c>
      <c r="B371" s="2">
        <v>13.0</v>
      </c>
      <c r="C371" s="2" t="s">
        <v>40</v>
      </c>
      <c r="D371" s="2" t="s">
        <v>19</v>
      </c>
      <c r="E371" s="2" t="s">
        <v>1925</v>
      </c>
      <c r="F371" s="2" t="s">
        <v>1926</v>
      </c>
      <c r="G371" s="2"/>
    </row>
    <row r="372">
      <c r="A372" s="2">
        <v>14.0</v>
      </c>
      <c r="B372" s="2">
        <v>14.0</v>
      </c>
      <c r="C372" s="2" t="s">
        <v>28</v>
      </c>
      <c r="D372" s="2" t="s">
        <v>8</v>
      </c>
      <c r="E372" s="2" t="s">
        <v>1927</v>
      </c>
      <c r="F372" s="2" t="s">
        <v>1928</v>
      </c>
      <c r="G372" s="2"/>
    </row>
    <row r="373">
      <c r="A373" s="2">
        <v>14.0</v>
      </c>
      <c r="B373" s="2">
        <v>15.0</v>
      </c>
      <c r="C373" s="2" t="s">
        <v>28</v>
      </c>
      <c r="D373" s="2" t="s">
        <v>8</v>
      </c>
      <c r="E373" s="2" t="s">
        <v>1929</v>
      </c>
      <c r="F373" s="2" t="s">
        <v>1930</v>
      </c>
      <c r="G373" s="2"/>
    </row>
    <row r="374">
      <c r="A374" s="2">
        <v>14.0</v>
      </c>
      <c r="B374" s="2">
        <v>17.0</v>
      </c>
      <c r="C374" s="21" t="s">
        <v>47</v>
      </c>
      <c r="D374" s="2" t="s">
        <v>8</v>
      </c>
      <c r="E374" s="2" t="s">
        <v>1931</v>
      </c>
      <c r="F374" s="2" t="s">
        <v>1932</v>
      </c>
      <c r="G374" s="2"/>
    </row>
    <row r="375">
      <c r="A375" s="2">
        <v>14.0</v>
      </c>
      <c r="B375" s="2">
        <v>17.0</v>
      </c>
      <c r="C375" s="21" t="s">
        <v>47</v>
      </c>
      <c r="D375" s="2" t="s">
        <v>8</v>
      </c>
      <c r="E375" s="2" t="s">
        <v>1933</v>
      </c>
      <c r="F375" s="2" t="s">
        <v>1934</v>
      </c>
      <c r="G375" s="2"/>
    </row>
    <row r="376">
      <c r="A376" s="2">
        <v>14.0</v>
      </c>
      <c r="B376" s="2">
        <v>18.0</v>
      </c>
      <c r="C376" s="21" t="s">
        <v>47</v>
      </c>
      <c r="D376" s="2" t="s">
        <v>19</v>
      </c>
      <c r="E376" s="2" t="s">
        <v>1935</v>
      </c>
      <c r="F376" s="2" t="s">
        <v>1936</v>
      </c>
      <c r="G376" s="2"/>
    </row>
    <row r="377">
      <c r="A377" s="2">
        <v>14.0</v>
      </c>
      <c r="B377" s="2">
        <v>19.0</v>
      </c>
      <c r="C377" s="2" t="s">
        <v>72</v>
      </c>
      <c r="D377" s="2" t="s">
        <v>19</v>
      </c>
      <c r="E377" s="2" t="s">
        <v>1937</v>
      </c>
      <c r="F377" s="2" t="s">
        <v>1938</v>
      </c>
      <c r="G377" s="2"/>
    </row>
    <row r="378">
      <c r="A378" s="2">
        <v>14.0</v>
      </c>
      <c r="B378" s="2">
        <v>20.0</v>
      </c>
      <c r="C378" s="21" t="s">
        <v>72</v>
      </c>
      <c r="D378" s="2" t="s">
        <v>19</v>
      </c>
      <c r="E378" s="2" t="s">
        <v>1939</v>
      </c>
      <c r="F378" s="2" t="s">
        <v>1940</v>
      </c>
      <c r="G378" s="2"/>
    </row>
    <row r="379">
      <c r="A379" s="2">
        <v>14.0</v>
      </c>
      <c r="B379" s="2">
        <v>22.0</v>
      </c>
      <c r="C379" s="2" t="s">
        <v>33</v>
      </c>
      <c r="D379" s="2" t="s">
        <v>19</v>
      </c>
      <c r="E379" s="2" t="s">
        <v>1941</v>
      </c>
      <c r="F379" s="2" t="s">
        <v>1942</v>
      </c>
      <c r="G379" s="2"/>
    </row>
    <row r="380">
      <c r="A380" s="2">
        <v>14.0</v>
      </c>
      <c r="B380" s="2">
        <v>23.0</v>
      </c>
      <c r="C380" s="2" t="s">
        <v>33</v>
      </c>
      <c r="D380" s="2" t="s">
        <v>8</v>
      </c>
      <c r="E380" s="2" t="s">
        <v>1943</v>
      </c>
      <c r="F380" s="2" t="s">
        <v>1944</v>
      </c>
      <c r="G380" s="2"/>
    </row>
    <row r="381">
      <c r="A381" s="2">
        <v>14.0</v>
      </c>
      <c r="B381" s="2">
        <v>23.0</v>
      </c>
      <c r="C381" s="2" t="s">
        <v>33</v>
      </c>
      <c r="D381" s="2" t="s">
        <v>19</v>
      </c>
      <c r="E381" s="2" t="s">
        <v>1945</v>
      </c>
      <c r="F381" s="2" t="s">
        <v>1946</v>
      </c>
      <c r="G381" s="2"/>
    </row>
    <row r="382">
      <c r="A382" s="2">
        <v>14.0</v>
      </c>
      <c r="B382" s="2">
        <v>24.0</v>
      </c>
      <c r="C382" s="2" t="s">
        <v>54</v>
      </c>
      <c r="D382" s="2" t="s">
        <v>19</v>
      </c>
      <c r="E382" s="2" t="s">
        <v>1947</v>
      </c>
      <c r="F382" s="2" t="s">
        <v>1948</v>
      </c>
      <c r="G382" s="2"/>
    </row>
    <row r="383">
      <c r="A383" s="2">
        <v>14.0</v>
      </c>
      <c r="B383" s="2">
        <v>25.0</v>
      </c>
      <c r="C383" s="2" t="s">
        <v>176</v>
      </c>
      <c r="D383" s="2" t="s">
        <v>8</v>
      </c>
      <c r="E383" s="2" t="s">
        <v>1949</v>
      </c>
      <c r="F383" s="2" t="s">
        <v>1950</v>
      </c>
      <c r="G383" s="2"/>
    </row>
    <row r="384">
      <c r="A384" s="2">
        <v>14.0</v>
      </c>
      <c r="B384" s="2">
        <v>25.0</v>
      </c>
      <c r="C384" s="2" t="s">
        <v>176</v>
      </c>
      <c r="D384" s="2" t="s">
        <v>8</v>
      </c>
      <c r="E384" s="2" t="s">
        <v>1951</v>
      </c>
      <c r="F384" s="2" t="s">
        <v>1952</v>
      </c>
      <c r="G384" s="2"/>
    </row>
  </sheetData>
  <drawing r:id="rId2"/>
  <legacyDrawing r:id="rId3"/>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3.0" ySplit="1.0" topLeftCell="D2" activePane="bottomRight" state="frozen"/>
      <selection activeCell="D1" sqref="D1" pane="topRight"/>
      <selection activeCell="A2" sqref="A2" pane="bottomLeft"/>
      <selection activeCell="D2" sqref="D2" pane="bottomRight"/>
    </sheetView>
  </sheetViews>
  <sheetFormatPr customHeight="1" defaultColWidth="14.43" defaultRowHeight="15.75"/>
  <cols>
    <col customWidth="1" min="1" max="1" width="14.29"/>
    <col customWidth="1" min="2" max="2" width="15.43"/>
    <col customWidth="1" min="3" max="3" width="10.14"/>
    <col customWidth="1" min="4" max="4" width="13.86"/>
    <col customWidth="1" min="5" max="5" width="26.29"/>
    <col customWidth="1" min="6" max="6" width="47.43"/>
    <col customWidth="1" min="7" max="7" width="31.86"/>
    <col customWidth="1" min="8" max="8" width="19.43"/>
    <col customWidth="1" min="9" max="9" width="22.71"/>
    <col customWidth="1" min="10" max="10" width="57.29"/>
    <col customWidth="1" min="11" max="11" width="35.86"/>
    <col customWidth="1" min="12" max="12" width="14.86"/>
    <col customWidth="1" min="13" max="13" width="15.29"/>
    <col customWidth="1" min="14" max="14" width="17.71"/>
    <col customWidth="1" min="15" max="15" width="15.29"/>
    <col customWidth="1" min="16" max="16" width="31.86"/>
    <col customWidth="1" min="17" max="17" width="22.86"/>
  </cols>
  <sheetData>
    <row r="1">
      <c r="A1" s="1" t="s">
        <v>0</v>
      </c>
      <c r="B1" s="1" t="s">
        <v>1</v>
      </c>
      <c r="C1" s="1" t="s">
        <v>1953</v>
      </c>
      <c r="D1" s="1" t="s">
        <v>2</v>
      </c>
      <c r="E1" s="1" t="s">
        <v>1954</v>
      </c>
      <c r="F1" s="1" t="s">
        <v>1955</v>
      </c>
      <c r="G1" s="1" t="s">
        <v>1956</v>
      </c>
      <c r="H1" s="1" t="s">
        <v>1957</v>
      </c>
      <c r="I1" s="31" t="s">
        <v>1958</v>
      </c>
      <c r="J1" s="31" t="s">
        <v>1959</v>
      </c>
      <c r="K1" s="31" t="s">
        <v>1960</v>
      </c>
      <c r="L1" s="31" t="s">
        <v>1961</v>
      </c>
      <c r="M1" s="32" t="s">
        <v>1962</v>
      </c>
      <c r="N1" s="32" t="s">
        <v>1963</v>
      </c>
      <c r="O1" s="32" t="s">
        <v>1964</v>
      </c>
      <c r="P1" s="32" t="s">
        <v>1965</v>
      </c>
      <c r="Q1" s="32" t="s">
        <v>1966</v>
      </c>
    </row>
    <row r="2" ht="83.25" customHeight="1">
      <c r="A2" s="22">
        <v>1.0</v>
      </c>
      <c r="B2" s="22">
        <v>1.0</v>
      </c>
      <c r="C2" s="2" t="s">
        <v>1967</v>
      </c>
      <c r="D2" s="2" t="s">
        <v>7</v>
      </c>
      <c r="E2" s="2" t="s">
        <v>8</v>
      </c>
      <c r="F2" s="33" t="s">
        <v>1968</v>
      </c>
      <c r="G2" s="33" t="s">
        <v>1969</v>
      </c>
      <c r="H2" s="33"/>
      <c r="I2" s="26" t="s">
        <v>8</v>
      </c>
      <c r="J2" s="26" t="s">
        <v>9</v>
      </c>
      <c r="K2" s="26" t="s">
        <v>10</v>
      </c>
      <c r="L2" s="26"/>
      <c r="M2" s="34"/>
      <c r="N2" s="32"/>
      <c r="O2" s="35"/>
      <c r="P2" s="35"/>
      <c r="Q2" s="35"/>
    </row>
    <row r="3" ht="83.25" customHeight="1">
      <c r="A3" s="22">
        <v>1.0</v>
      </c>
      <c r="B3" s="22">
        <v>1.0</v>
      </c>
      <c r="C3" s="2" t="s">
        <v>1967</v>
      </c>
      <c r="D3" s="2" t="s">
        <v>7</v>
      </c>
      <c r="E3" s="2" t="s">
        <v>8</v>
      </c>
      <c r="F3" s="33" t="s">
        <v>11</v>
      </c>
      <c r="G3" s="33" t="s">
        <v>1970</v>
      </c>
      <c r="H3" s="33"/>
      <c r="I3" s="26" t="s">
        <v>8</v>
      </c>
      <c r="J3" s="26" t="s">
        <v>11</v>
      </c>
      <c r="K3" s="26" t="s">
        <v>12</v>
      </c>
      <c r="L3" s="26"/>
      <c r="M3" s="34"/>
      <c r="N3" s="32"/>
      <c r="O3" s="35"/>
      <c r="P3" s="35"/>
      <c r="Q3" s="35"/>
    </row>
    <row r="4">
      <c r="A4" s="20">
        <v>1.0</v>
      </c>
      <c r="B4" s="20">
        <v>2.0</v>
      </c>
      <c r="C4" s="2" t="s">
        <v>1971</v>
      </c>
      <c r="D4" s="12" t="s">
        <v>7</v>
      </c>
      <c r="E4" s="2" t="s">
        <v>8</v>
      </c>
      <c r="F4" s="33" t="s">
        <v>892</v>
      </c>
      <c r="G4" s="33" t="s">
        <v>1972</v>
      </c>
      <c r="H4" s="33"/>
      <c r="I4" s="26"/>
      <c r="J4" s="26"/>
      <c r="K4" s="26"/>
      <c r="L4" s="26"/>
      <c r="M4" s="34"/>
      <c r="N4" s="32"/>
      <c r="O4" s="35"/>
      <c r="P4" s="35"/>
      <c r="Q4" s="35"/>
    </row>
    <row r="5" ht="83.25" customHeight="1">
      <c r="A5" s="22">
        <v>1.0</v>
      </c>
      <c r="B5" s="22">
        <v>3.0</v>
      </c>
      <c r="C5" s="2" t="s">
        <v>1973</v>
      </c>
      <c r="D5" s="2" t="s">
        <v>7</v>
      </c>
      <c r="E5" s="2" t="s">
        <v>8</v>
      </c>
      <c r="F5" s="33" t="s">
        <v>13</v>
      </c>
      <c r="G5" s="33" t="s">
        <v>1972</v>
      </c>
      <c r="H5" s="33"/>
      <c r="I5" s="26"/>
      <c r="J5" s="26"/>
      <c r="K5" s="26"/>
      <c r="L5" s="26"/>
      <c r="M5" s="34"/>
      <c r="N5" s="32"/>
      <c r="O5" s="35"/>
      <c r="P5" s="35"/>
      <c r="Q5" s="35"/>
    </row>
    <row r="6" ht="83.25" customHeight="1">
      <c r="A6" s="22">
        <v>1.0</v>
      </c>
      <c r="B6" s="22">
        <v>3.0</v>
      </c>
      <c r="C6" s="2" t="s">
        <v>1973</v>
      </c>
      <c r="D6" s="2" t="s">
        <v>7</v>
      </c>
      <c r="E6" s="2" t="s">
        <v>8</v>
      </c>
      <c r="F6" s="33" t="s">
        <v>15</v>
      </c>
      <c r="G6" s="33" t="s">
        <v>1974</v>
      </c>
      <c r="H6" s="33"/>
      <c r="I6" s="26"/>
      <c r="J6" s="26"/>
      <c r="K6" s="26"/>
      <c r="L6" s="26"/>
      <c r="M6" s="34"/>
      <c r="N6" s="32"/>
      <c r="O6" s="35"/>
      <c r="P6" s="35"/>
      <c r="Q6" s="35"/>
    </row>
    <row r="7" ht="83.25" customHeight="1">
      <c r="A7" s="22">
        <v>1.0</v>
      </c>
      <c r="B7" s="22">
        <v>3.0</v>
      </c>
      <c r="C7" s="2" t="s">
        <v>1973</v>
      </c>
      <c r="D7" s="2" t="s">
        <v>7</v>
      </c>
      <c r="E7" s="2" t="s">
        <v>8</v>
      </c>
      <c r="F7" s="33" t="s">
        <v>17</v>
      </c>
      <c r="G7" s="33" t="s">
        <v>1975</v>
      </c>
      <c r="H7" s="33"/>
      <c r="I7" s="26"/>
      <c r="J7" s="26"/>
      <c r="K7" s="26"/>
      <c r="L7" s="26"/>
      <c r="M7" s="34"/>
      <c r="N7" s="32"/>
      <c r="O7" s="35"/>
      <c r="P7" s="35"/>
      <c r="Q7" s="35"/>
    </row>
    <row r="8" ht="83.25" customHeight="1">
      <c r="A8" s="22">
        <v>1.0</v>
      </c>
      <c r="B8" s="22">
        <v>3.0</v>
      </c>
      <c r="C8" s="2" t="s">
        <v>1973</v>
      </c>
      <c r="D8" s="2" t="s">
        <v>7</v>
      </c>
      <c r="E8" s="2" t="s">
        <v>19</v>
      </c>
      <c r="F8" s="33" t="s">
        <v>20</v>
      </c>
      <c r="G8" s="33" t="s">
        <v>1976</v>
      </c>
      <c r="H8" s="33"/>
      <c r="I8" s="26"/>
      <c r="J8" s="26"/>
      <c r="K8" s="26"/>
      <c r="L8" s="26"/>
      <c r="M8" s="34"/>
      <c r="N8" s="32"/>
      <c r="O8" s="35"/>
      <c r="P8" s="35"/>
      <c r="Q8" s="35"/>
    </row>
    <row r="9" ht="83.25" customHeight="1">
      <c r="A9" s="2">
        <v>1.0</v>
      </c>
      <c r="B9" s="2">
        <v>4.0</v>
      </c>
      <c r="C9" s="2" t="s">
        <v>1967</v>
      </c>
      <c r="D9" s="2" t="s">
        <v>7</v>
      </c>
      <c r="E9" s="2" t="s">
        <v>8</v>
      </c>
      <c r="F9" s="33" t="s">
        <v>22</v>
      </c>
      <c r="G9" s="36" t="s">
        <v>1977</v>
      </c>
      <c r="H9" s="33"/>
      <c r="I9" s="26" t="s">
        <v>19</v>
      </c>
      <c r="J9" s="26" t="s">
        <v>894</v>
      </c>
      <c r="K9" s="26" t="s">
        <v>1978</v>
      </c>
      <c r="L9" s="26"/>
      <c r="M9" s="34" t="s">
        <v>1979</v>
      </c>
      <c r="N9" s="32"/>
      <c r="O9" s="37" t="s">
        <v>1980</v>
      </c>
      <c r="P9" s="35"/>
      <c r="Q9" s="35"/>
    </row>
    <row r="10">
      <c r="A10" s="2">
        <v>1.0</v>
      </c>
      <c r="B10" s="2">
        <v>4.0</v>
      </c>
      <c r="C10" s="2" t="s">
        <v>1967</v>
      </c>
      <c r="D10" s="2" t="s">
        <v>7</v>
      </c>
      <c r="E10" s="2" t="s">
        <v>19</v>
      </c>
      <c r="F10" s="33" t="s">
        <v>24</v>
      </c>
      <c r="G10" s="33" t="s">
        <v>1981</v>
      </c>
      <c r="H10" s="33"/>
      <c r="I10" s="26"/>
      <c r="J10" s="26"/>
      <c r="K10" s="26"/>
      <c r="L10" s="26"/>
      <c r="M10" s="34" t="s">
        <v>1979</v>
      </c>
      <c r="N10" s="32"/>
      <c r="O10" s="37" t="s">
        <v>1982</v>
      </c>
      <c r="P10" s="35"/>
      <c r="Q10" s="35"/>
    </row>
    <row r="11">
      <c r="A11" s="2">
        <v>1.0</v>
      </c>
      <c r="B11" s="2">
        <v>4.0</v>
      </c>
      <c r="C11" s="2" t="s">
        <v>1967</v>
      </c>
      <c r="D11" s="2" t="s">
        <v>7</v>
      </c>
      <c r="E11" s="2" t="s">
        <v>19</v>
      </c>
      <c r="F11" s="33" t="s">
        <v>26</v>
      </c>
      <c r="G11" s="33" t="s">
        <v>1983</v>
      </c>
      <c r="H11" s="33"/>
      <c r="I11" s="26"/>
      <c r="J11" s="26"/>
      <c r="K11" s="26"/>
      <c r="L11" s="26"/>
      <c r="M11" s="34" t="s">
        <v>1979</v>
      </c>
      <c r="N11" s="32"/>
      <c r="O11" s="37" t="s">
        <v>1982</v>
      </c>
      <c r="P11" s="35"/>
      <c r="Q11" s="35"/>
    </row>
    <row r="12">
      <c r="A12" s="20">
        <v>1.0</v>
      </c>
      <c r="B12" s="20">
        <v>5.0</v>
      </c>
      <c r="C12" s="12" t="s">
        <v>1971</v>
      </c>
      <c r="D12" s="2" t="s">
        <v>28</v>
      </c>
      <c r="E12" s="2" t="s">
        <v>19</v>
      </c>
      <c r="F12" s="33" t="s">
        <v>1263</v>
      </c>
      <c r="G12" s="33" t="s">
        <v>1264</v>
      </c>
      <c r="H12" s="33"/>
      <c r="I12" s="26" t="s">
        <v>19</v>
      </c>
      <c r="J12" s="26" t="s">
        <v>895</v>
      </c>
      <c r="K12" s="26" t="s">
        <v>1984</v>
      </c>
      <c r="L12" s="26"/>
      <c r="M12" s="34" t="s">
        <v>1979</v>
      </c>
      <c r="N12" s="32"/>
      <c r="O12" s="37" t="s">
        <v>1980</v>
      </c>
      <c r="P12" s="35"/>
      <c r="Q12" s="35"/>
    </row>
    <row r="13">
      <c r="A13" s="22">
        <v>1.0</v>
      </c>
      <c r="B13" s="22">
        <v>6.0</v>
      </c>
      <c r="C13" s="2" t="s">
        <v>1973</v>
      </c>
      <c r="D13" s="2" t="s">
        <v>28</v>
      </c>
      <c r="E13" s="2" t="s">
        <v>8</v>
      </c>
      <c r="F13" s="33" t="s">
        <v>29</v>
      </c>
      <c r="G13" s="33" t="s">
        <v>1985</v>
      </c>
      <c r="H13" s="33"/>
      <c r="I13" s="26"/>
      <c r="J13" s="26"/>
      <c r="K13" s="26"/>
      <c r="L13" s="26"/>
      <c r="M13" s="34"/>
      <c r="N13" s="32"/>
      <c r="O13" s="35"/>
      <c r="P13" s="35"/>
      <c r="Q13" s="35"/>
    </row>
    <row r="14">
      <c r="A14" s="2">
        <v>1.0</v>
      </c>
      <c r="B14" s="2">
        <v>7.0</v>
      </c>
      <c r="C14" s="2" t="s">
        <v>1967</v>
      </c>
      <c r="D14" s="2" t="s">
        <v>28</v>
      </c>
      <c r="E14" s="2" t="s">
        <v>19</v>
      </c>
      <c r="F14" s="33" t="s">
        <v>31</v>
      </c>
      <c r="G14" s="33" t="s">
        <v>1986</v>
      </c>
      <c r="H14" s="33"/>
      <c r="I14" s="26" t="s">
        <v>19</v>
      </c>
      <c r="J14" s="26" t="s">
        <v>897</v>
      </c>
      <c r="K14" s="26" t="s">
        <v>898</v>
      </c>
      <c r="L14" s="26"/>
      <c r="M14" s="34" t="s">
        <v>1979</v>
      </c>
      <c r="N14" s="32"/>
      <c r="O14" s="37" t="s">
        <v>1982</v>
      </c>
      <c r="P14" s="35"/>
      <c r="Q14" s="35"/>
    </row>
    <row r="15">
      <c r="A15" s="20">
        <v>1.0</v>
      </c>
      <c r="B15" s="20">
        <v>8.0</v>
      </c>
      <c r="C15" s="12" t="s">
        <v>1971</v>
      </c>
      <c r="D15" s="2" t="s">
        <v>33</v>
      </c>
      <c r="E15" s="2" t="s">
        <v>19</v>
      </c>
      <c r="F15" s="33" t="s">
        <v>1266</v>
      </c>
      <c r="G15" s="33" t="s">
        <v>1266</v>
      </c>
      <c r="H15" s="33"/>
      <c r="I15" s="26"/>
      <c r="J15" s="26"/>
      <c r="K15" s="26"/>
      <c r="L15" s="26"/>
      <c r="M15" s="34" t="s">
        <v>1979</v>
      </c>
      <c r="N15" s="32"/>
      <c r="O15" s="37" t="s">
        <v>1982</v>
      </c>
      <c r="P15" s="35"/>
      <c r="Q15" s="37" t="s">
        <v>1987</v>
      </c>
    </row>
    <row r="16">
      <c r="A16" s="20">
        <v>1.0</v>
      </c>
      <c r="B16" s="20">
        <v>8.0</v>
      </c>
      <c r="C16" s="12" t="s">
        <v>1971</v>
      </c>
      <c r="D16" s="2" t="s">
        <v>33</v>
      </c>
      <c r="E16" s="2" t="s">
        <v>8</v>
      </c>
      <c r="F16" s="33" t="s">
        <v>899</v>
      </c>
      <c r="G16" s="33" t="s">
        <v>900</v>
      </c>
      <c r="H16" s="33"/>
      <c r="I16" s="26"/>
      <c r="J16" s="26"/>
      <c r="K16" s="26"/>
      <c r="L16" s="26"/>
      <c r="M16" s="34" t="s">
        <v>1979</v>
      </c>
      <c r="N16" s="32"/>
      <c r="O16" s="37" t="s">
        <v>1980</v>
      </c>
      <c r="P16" s="35"/>
      <c r="Q16" s="35"/>
    </row>
    <row r="17">
      <c r="A17" s="20">
        <v>1.0</v>
      </c>
      <c r="B17" s="20">
        <v>8.0</v>
      </c>
      <c r="C17" s="12" t="s">
        <v>1971</v>
      </c>
      <c r="D17" s="2" t="s">
        <v>33</v>
      </c>
      <c r="E17" s="2" t="s">
        <v>19</v>
      </c>
      <c r="F17" s="33" t="s">
        <v>901</v>
      </c>
      <c r="G17" s="33" t="s">
        <v>902</v>
      </c>
      <c r="H17" s="33"/>
      <c r="I17" s="26"/>
      <c r="J17" s="26"/>
      <c r="K17" s="26"/>
      <c r="L17" s="26"/>
      <c r="M17" s="34" t="s">
        <v>1979</v>
      </c>
      <c r="N17" s="32"/>
      <c r="O17" s="37" t="s">
        <v>1980</v>
      </c>
      <c r="P17" s="35"/>
      <c r="Q17" s="35"/>
    </row>
    <row r="18">
      <c r="A18" s="22">
        <v>1.0</v>
      </c>
      <c r="B18" s="22">
        <v>9.0</v>
      </c>
      <c r="C18" s="2" t="s">
        <v>1973</v>
      </c>
      <c r="D18" s="2" t="s">
        <v>33</v>
      </c>
      <c r="E18" s="2" t="s">
        <v>19</v>
      </c>
      <c r="F18" s="33" t="s">
        <v>34</v>
      </c>
      <c r="G18" s="33" t="s">
        <v>1988</v>
      </c>
      <c r="H18" s="33"/>
      <c r="I18" s="26"/>
      <c r="J18" s="26"/>
      <c r="K18" s="26"/>
      <c r="L18" s="26"/>
      <c r="M18" s="34"/>
      <c r="N18" s="32"/>
      <c r="O18" s="35"/>
      <c r="P18" s="35"/>
      <c r="Q18" s="35"/>
    </row>
    <row r="19">
      <c r="A19" s="22">
        <v>1.0</v>
      </c>
      <c r="B19" s="22">
        <v>9.0</v>
      </c>
      <c r="C19" s="2" t="s">
        <v>1973</v>
      </c>
      <c r="D19" s="2" t="s">
        <v>33</v>
      </c>
      <c r="E19" s="2" t="s">
        <v>19</v>
      </c>
      <c r="F19" s="33" t="s">
        <v>36</v>
      </c>
      <c r="G19" s="33" t="s">
        <v>1989</v>
      </c>
      <c r="H19" s="33"/>
      <c r="I19" s="26"/>
      <c r="J19" s="26"/>
      <c r="K19" s="26"/>
      <c r="L19" s="26"/>
      <c r="M19" s="34"/>
      <c r="N19" s="32"/>
      <c r="O19" s="35"/>
      <c r="P19" s="35"/>
      <c r="Q19" s="35"/>
    </row>
    <row r="20">
      <c r="A20" s="22">
        <v>1.0</v>
      </c>
      <c r="B20" s="22">
        <v>9.0</v>
      </c>
      <c r="C20" s="2" t="s">
        <v>1973</v>
      </c>
      <c r="D20" s="2" t="s">
        <v>33</v>
      </c>
      <c r="E20" s="2" t="s">
        <v>19</v>
      </c>
      <c r="F20" s="33" t="s">
        <v>38</v>
      </c>
      <c r="G20" s="33" t="s">
        <v>1990</v>
      </c>
      <c r="H20" s="33"/>
      <c r="I20" s="26"/>
      <c r="J20" s="26"/>
      <c r="K20" s="26"/>
      <c r="L20" s="26"/>
      <c r="M20" s="34"/>
      <c r="N20" s="32"/>
      <c r="O20" s="35"/>
      <c r="P20" s="35"/>
      <c r="Q20" s="35"/>
    </row>
    <row r="21">
      <c r="A21" s="22">
        <v>1.0</v>
      </c>
      <c r="B21" s="22">
        <v>10.0</v>
      </c>
      <c r="C21" s="2" t="s">
        <v>1967</v>
      </c>
      <c r="D21" s="2" t="s">
        <v>40</v>
      </c>
      <c r="E21" s="2" t="s">
        <v>19</v>
      </c>
      <c r="F21" s="33" t="s">
        <v>41</v>
      </c>
      <c r="G21" s="33" t="s">
        <v>1991</v>
      </c>
      <c r="H21" s="33"/>
      <c r="I21" s="26" t="s">
        <v>19</v>
      </c>
      <c r="J21" s="26" t="s">
        <v>903</v>
      </c>
      <c r="K21" s="26" t="s">
        <v>904</v>
      </c>
      <c r="L21" s="26"/>
      <c r="M21" s="34"/>
      <c r="N21" s="32"/>
      <c r="O21" s="35"/>
      <c r="P21" s="35"/>
      <c r="Q21" s="35"/>
    </row>
    <row r="22">
      <c r="A22" s="2">
        <v>1.0</v>
      </c>
      <c r="B22" s="2">
        <v>10.0</v>
      </c>
      <c r="C22" s="2" t="s">
        <v>1967</v>
      </c>
      <c r="D22" s="2" t="s">
        <v>40</v>
      </c>
      <c r="E22" s="2" t="s">
        <v>8</v>
      </c>
      <c r="F22" s="33" t="s">
        <v>43</v>
      </c>
      <c r="G22" s="33" t="s">
        <v>1992</v>
      </c>
      <c r="H22" s="33"/>
      <c r="I22" s="26"/>
      <c r="J22" s="26"/>
      <c r="K22" s="26"/>
      <c r="L22" s="26"/>
      <c r="M22" s="34" t="s">
        <v>1979</v>
      </c>
      <c r="N22" s="32"/>
      <c r="O22" s="37" t="s">
        <v>1982</v>
      </c>
      <c r="P22" s="35"/>
      <c r="Q22" s="35"/>
    </row>
    <row r="23">
      <c r="A23" s="2">
        <v>1.0</v>
      </c>
      <c r="B23" s="2">
        <v>10.0</v>
      </c>
      <c r="C23" s="2" t="s">
        <v>1967</v>
      </c>
      <c r="D23" s="2" t="s">
        <v>40</v>
      </c>
      <c r="E23" s="2" t="s">
        <v>19</v>
      </c>
      <c r="F23" s="33" t="s">
        <v>45</v>
      </c>
      <c r="G23" s="33" t="s">
        <v>1993</v>
      </c>
      <c r="H23" s="33"/>
      <c r="I23" s="26"/>
      <c r="J23" s="26"/>
      <c r="K23" s="26"/>
      <c r="L23" s="26"/>
      <c r="M23" s="34" t="s">
        <v>1979</v>
      </c>
      <c r="N23" s="32"/>
      <c r="O23" s="37" t="s">
        <v>1982</v>
      </c>
      <c r="P23" s="35"/>
      <c r="Q23" s="35"/>
    </row>
    <row r="24">
      <c r="A24" s="2">
        <v>1.0</v>
      </c>
      <c r="B24" s="2">
        <v>10.0</v>
      </c>
      <c r="C24" s="2" t="s">
        <v>1967</v>
      </c>
      <c r="D24" s="2" t="s">
        <v>40</v>
      </c>
      <c r="E24" s="2" t="s">
        <v>19</v>
      </c>
      <c r="F24" s="33" t="s">
        <v>45</v>
      </c>
      <c r="G24" s="33" t="s">
        <v>1994</v>
      </c>
      <c r="H24" s="33"/>
      <c r="I24" s="26"/>
      <c r="J24" s="26"/>
      <c r="K24" s="26"/>
      <c r="L24" s="26"/>
      <c r="M24" s="34" t="s">
        <v>1979</v>
      </c>
      <c r="N24" s="32"/>
      <c r="O24" s="37" t="s">
        <v>1982</v>
      </c>
      <c r="P24" s="35"/>
      <c r="Q24" s="35"/>
    </row>
    <row r="25">
      <c r="A25" s="20">
        <v>1.0</v>
      </c>
      <c r="B25" s="22">
        <v>11.0</v>
      </c>
      <c r="C25" s="12" t="s">
        <v>1971</v>
      </c>
      <c r="D25" s="2" t="s">
        <v>72</v>
      </c>
      <c r="E25" s="2" t="s">
        <v>19</v>
      </c>
      <c r="F25" s="33" t="s">
        <v>1269</v>
      </c>
      <c r="G25" s="33" t="s">
        <v>1270</v>
      </c>
      <c r="H25" s="33"/>
      <c r="I25" s="26" t="s">
        <v>19</v>
      </c>
      <c r="J25" s="26" t="s">
        <v>1995</v>
      </c>
      <c r="K25" s="26" t="s">
        <v>1996</v>
      </c>
      <c r="L25" s="26"/>
      <c r="M25" s="34" t="s">
        <v>1979</v>
      </c>
      <c r="N25" s="32"/>
      <c r="O25" s="37" t="s">
        <v>1980</v>
      </c>
      <c r="P25" s="35"/>
      <c r="Q25" s="37" t="s">
        <v>1997</v>
      </c>
    </row>
    <row r="26">
      <c r="A26" s="22">
        <v>1.0</v>
      </c>
      <c r="B26" s="22">
        <v>12.0</v>
      </c>
      <c r="C26" s="2" t="s">
        <v>1973</v>
      </c>
      <c r="D26" s="2" t="s">
        <v>47</v>
      </c>
      <c r="E26" s="2" t="s">
        <v>19</v>
      </c>
      <c r="F26" s="33" t="s">
        <v>48</v>
      </c>
      <c r="G26" s="33" t="s">
        <v>1998</v>
      </c>
      <c r="H26" s="33"/>
      <c r="I26" s="26"/>
      <c r="J26" s="26"/>
      <c r="K26" s="26"/>
      <c r="L26" s="26"/>
      <c r="M26" s="34"/>
      <c r="N26" s="32"/>
      <c r="O26" s="35"/>
      <c r="P26" s="35"/>
      <c r="Q26" s="35"/>
    </row>
    <row r="27">
      <c r="A27" s="22">
        <v>1.0</v>
      </c>
      <c r="B27" s="22">
        <v>12.0</v>
      </c>
      <c r="C27" s="2" t="s">
        <v>1973</v>
      </c>
      <c r="D27" s="2" t="s">
        <v>47</v>
      </c>
      <c r="E27" s="2" t="s">
        <v>19</v>
      </c>
      <c r="F27" s="33" t="s">
        <v>50</v>
      </c>
      <c r="G27" s="33" t="s">
        <v>1999</v>
      </c>
      <c r="H27" s="33"/>
      <c r="I27" s="26"/>
      <c r="J27" s="26"/>
      <c r="K27" s="26"/>
      <c r="L27" s="26"/>
      <c r="M27" s="34"/>
      <c r="N27" s="32"/>
      <c r="O27" s="35"/>
      <c r="P27" s="35"/>
      <c r="Q27" s="35"/>
    </row>
    <row r="28">
      <c r="A28" s="22">
        <v>1.0</v>
      </c>
      <c r="B28" s="22">
        <v>12.0</v>
      </c>
      <c r="C28" s="2" t="s">
        <v>1973</v>
      </c>
      <c r="D28" s="2" t="s">
        <v>47</v>
      </c>
      <c r="E28" s="2" t="s">
        <v>19</v>
      </c>
      <c r="F28" s="33" t="s">
        <v>52</v>
      </c>
      <c r="G28" s="33" t="s">
        <v>2000</v>
      </c>
      <c r="H28" s="33"/>
      <c r="I28" s="26"/>
      <c r="J28" s="26"/>
      <c r="K28" s="26"/>
      <c r="L28" s="26"/>
      <c r="M28" s="34"/>
      <c r="N28" s="32"/>
      <c r="O28" s="35"/>
      <c r="P28" s="35"/>
      <c r="Q28" s="35"/>
    </row>
    <row r="29">
      <c r="A29" s="2">
        <v>1.0</v>
      </c>
      <c r="B29" s="2">
        <v>13.0</v>
      </c>
      <c r="C29" s="2" t="s">
        <v>1967</v>
      </c>
      <c r="D29" s="2" t="s">
        <v>54</v>
      </c>
      <c r="E29" s="2" t="s">
        <v>8</v>
      </c>
      <c r="F29" s="33" t="s">
        <v>55</v>
      </c>
      <c r="G29" s="33" t="s">
        <v>56</v>
      </c>
      <c r="H29" s="33"/>
      <c r="I29" s="26" t="s">
        <v>8</v>
      </c>
      <c r="J29" s="26" t="s">
        <v>907</v>
      </c>
      <c r="K29" s="26" t="s">
        <v>2001</v>
      </c>
      <c r="L29" s="26"/>
      <c r="M29" s="34" t="s">
        <v>1979</v>
      </c>
      <c r="N29" s="32"/>
      <c r="O29" s="37" t="s">
        <v>1980</v>
      </c>
      <c r="P29" s="35"/>
      <c r="Q29" s="35"/>
    </row>
    <row r="30">
      <c r="A30" s="20">
        <v>1.0</v>
      </c>
      <c r="B30" s="22">
        <v>14.0</v>
      </c>
      <c r="C30" s="12" t="s">
        <v>1971</v>
      </c>
      <c r="D30" s="2" t="s">
        <v>54</v>
      </c>
      <c r="E30" s="2" t="s">
        <v>8</v>
      </c>
      <c r="F30" s="33" t="s">
        <v>909</v>
      </c>
      <c r="G30" s="33" t="s">
        <v>2001</v>
      </c>
      <c r="H30" s="33"/>
      <c r="I30" s="26"/>
      <c r="J30" s="26"/>
      <c r="K30" s="26"/>
      <c r="L30" s="26"/>
      <c r="M30" s="34"/>
      <c r="N30" s="32"/>
      <c r="O30" s="35"/>
      <c r="P30" s="35"/>
      <c r="Q30" s="35"/>
    </row>
    <row r="31">
      <c r="A31" s="22">
        <v>1.0</v>
      </c>
      <c r="B31" s="22">
        <v>15.0</v>
      </c>
      <c r="C31" s="2" t="s">
        <v>1973</v>
      </c>
      <c r="D31" s="2" t="s">
        <v>54</v>
      </c>
      <c r="E31" s="2" t="s">
        <v>19</v>
      </c>
      <c r="F31" s="33" t="s">
        <v>57</v>
      </c>
      <c r="G31" s="33" t="s">
        <v>2002</v>
      </c>
      <c r="H31" s="33"/>
      <c r="I31" s="26"/>
      <c r="J31" s="26"/>
      <c r="K31" s="26"/>
      <c r="L31" s="26"/>
      <c r="M31" s="34"/>
      <c r="N31" s="32"/>
      <c r="O31" s="35"/>
      <c r="P31" s="35"/>
      <c r="Q31" s="35"/>
    </row>
    <row r="32">
      <c r="A32" s="22">
        <v>1.0</v>
      </c>
      <c r="B32" s="22">
        <v>16.0</v>
      </c>
      <c r="C32" s="2" t="s">
        <v>1967</v>
      </c>
      <c r="D32" s="2" t="s">
        <v>59</v>
      </c>
      <c r="E32" s="2" t="s">
        <v>8</v>
      </c>
      <c r="F32" s="33" t="s">
        <v>60</v>
      </c>
      <c r="G32" s="33" t="s">
        <v>2003</v>
      </c>
      <c r="H32" s="33"/>
      <c r="I32" s="26" t="s">
        <v>8</v>
      </c>
      <c r="J32" s="26" t="s">
        <v>910</v>
      </c>
      <c r="K32" s="26" t="s">
        <v>911</v>
      </c>
      <c r="L32" s="26"/>
      <c r="M32" s="34"/>
      <c r="N32" s="32"/>
      <c r="O32" s="35"/>
      <c r="P32" s="35"/>
      <c r="Q32" s="35"/>
    </row>
    <row r="33">
      <c r="A33" s="2">
        <v>1.0</v>
      </c>
      <c r="B33" s="2">
        <v>16.0</v>
      </c>
      <c r="C33" s="2" t="s">
        <v>1967</v>
      </c>
      <c r="D33" s="2" t="s">
        <v>59</v>
      </c>
      <c r="E33" s="2" t="s">
        <v>8</v>
      </c>
      <c r="F33" s="33" t="s">
        <v>62</v>
      </c>
      <c r="G33" s="33" t="s">
        <v>2004</v>
      </c>
      <c r="H33" s="33"/>
      <c r="I33" s="26" t="s">
        <v>19</v>
      </c>
      <c r="J33" s="26" t="s">
        <v>914</v>
      </c>
      <c r="K33" s="26" t="s">
        <v>1978</v>
      </c>
      <c r="L33" s="26"/>
      <c r="M33" s="34" t="s">
        <v>1979</v>
      </c>
      <c r="N33" s="32"/>
      <c r="O33" s="37" t="s">
        <v>1980</v>
      </c>
      <c r="P33" s="35"/>
      <c r="Q33" s="35"/>
    </row>
    <row r="34">
      <c r="A34" s="22">
        <v>1.0</v>
      </c>
      <c r="B34" s="22">
        <v>16.0</v>
      </c>
      <c r="C34" s="2" t="s">
        <v>1967</v>
      </c>
      <c r="D34" s="2" t="s">
        <v>59</v>
      </c>
      <c r="E34" s="2" t="s">
        <v>8</v>
      </c>
      <c r="F34" s="33" t="s">
        <v>64</v>
      </c>
      <c r="G34" s="33" t="s">
        <v>2005</v>
      </c>
      <c r="H34" s="33"/>
      <c r="I34" s="26" t="s">
        <v>8</v>
      </c>
      <c r="J34" s="26" t="s">
        <v>912</v>
      </c>
      <c r="K34" s="26" t="s">
        <v>2006</v>
      </c>
      <c r="L34" s="26"/>
      <c r="M34" s="34"/>
      <c r="N34" s="32"/>
      <c r="O34" s="35"/>
      <c r="P34" s="35"/>
      <c r="Q34" s="35"/>
    </row>
    <row r="35">
      <c r="A35" s="2">
        <v>1.0</v>
      </c>
      <c r="B35" s="2">
        <v>16.0</v>
      </c>
      <c r="C35" s="2" t="s">
        <v>1967</v>
      </c>
      <c r="D35" s="2" t="s">
        <v>59</v>
      </c>
      <c r="E35" s="2" t="s">
        <v>8</v>
      </c>
      <c r="F35" s="33" t="s">
        <v>66</v>
      </c>
      <c r="G35" s="33" t="s">
        <v>2007</v>
      </c>
      <c r="H35" s="33"/>
      <c r="I35" s="26"/>
      <c r="J35" s="26"/>
      <c r="K35" s="26"/>
      <c r="L35" s="26"/>
      <c r="M35" s="34" t="s">
        <v>1979</v>
      </c>
      <c r="N35" s="32"/>
      <c r="O35" s="37" t="s">
        <v>1982</v>
      </c>
      <c r="P35" s="35"/>
      <c r="Q35" s="35"/>
    </row>
    <row r="36">
      <c r="A36" s="20">
        <v>1.0</v>
      </c>
      <c r="B36" s="22">
        <v>17.0</v>
      </c>
      <c r="C36" s="12" t="s">
        <v>1971</v>
      </c>
      <c r="D36" s="2" t="s">
        <v>59</v>
      </c>
      <c r="E36" s="2" t="s">
        <v>8</v>
      </c>
      <c r="F36" s="33" t="s">
        <v>915</v>
      </c>
      <c r="G36" s="33" t="s">
        <v>2008</v>
      </c>
      <c r="H36" s="33"/>
      <c r="I36" s="26"/>
      <c r="J36" s="26"/>
      <c r="K36" s="26"/>
      <c r="L36" s="26"/>
      <c r="M36" s="34"/>
      <c r="N36" s="32"/>
      <c r="O36" s="35"/>
      <c r="P36" s="35"/>
      <c r="Q36" s="35"/>
    </row>
    <row r="37">
      <c r="A37" s="2">
        <v>2.0</v>
      </c>
      <c r="B37" s="2">
        <v>1.0</v>
      </c>
      <c r="C37" s="2" t="s">
        <v>1967</v>
      </c>
      <c r="D37" s="2" t="s">
        <v>28</v>
      </c>
      <c r="E37" s="2" t="s">
        <v>19</v>
      </c>
      <c r="F37" s="33" t="s">
        <v>68</v>
      </c>
      <c r="G37" s="33" t="s">
        <v>69</v>
      </c>
      <c r="H37" s="33"/>
      <c r="I37" s="26" t="s">
        <v>19</v>
      </c>
      <c r="J37" s="26" t="s">
        <v>917</v>
      </c>
      <c r="K37" s="26" t="s">
        <v>2009</v>
      </c>
      <c r="L37" s="26"/>
      <c r="M37" s="34" t="s">
        <v>1979</v>
      </c>
      <c r="N37" s="32"/>
      <c r="O37" s="37" t="s">
        <v>1980</v>
      </c>
      <c r="P37" s="35"/>
      <c r="Q37" s="35"/>
    </row>
    <row r="38">
      <c r="A38" s="2">
        <v>2.0</v>
      </c>
      <c r="B38" s="2">
        <v>1.0</v>
      </c>
      <c r="C38" s="2" t="s">
        <v>1967</v>
      </c>
      <c r="D38" s="2" t="s">
        <v>28</v>
      </c>
      <c r="E38" s="2" t="s">
        <v>8</v>
      </c>
      <c r="F38" s="33" t="s">
        <v>70</v>
      </c>
      <c r="G38" s="33" t="s">
        <v>71</v>
      </c>
      <c r="H38" s="33"/>
      <c r="I38" s="26" t="s">
        <v>8</v>
      </c>
      <c r="J38" s="26" t="s">
        <v>919</v>
      </c>
      <c r="K38" s="26" t="s">
        <v>920</v>
      </c>
      <c r="L38" s="26"/>
      <c r="M38" s="32" t="s">
        <v>1979</v>
      </c>
      <c r="N38" s="32"/>
      <c r="O38" s="37" t="s">
        <v>1980</v>
      </c>
      <c r="P38" s="35"/>
      <c r="Q38" s="37" t="s">
        <v>2010</v>
      </c>
    </row>
    <row r="39">
      <c r="A39" s="2">
        <v>2.0</v>
      </c>
      <c r="B39" s="2">
        <v>1.0</v>
      </c>
      <c r="C39" s="2" t="s">
        <v>1967</v>
      </c>
      <c r="D39" s="2" t="s">
        <v>28</v>
      </c>
      <c r="E39" s="2"/>
      <c r="F39" s="33"/>
      <c r="G39" s="33"/>
      <c r="H39" s="33"/>
      <c r="I39" s="26" t="s">
        <v>19</v>
      </c>
      <c r="J39" s="26" t="s">
        <v>921</v>
      </c>
      <c r="K39" s="26" t="s">
        <v>2011</v>
      </c>
      <c r="L39" s="26"/>
      <c r="M39" s="34" t="s">
        <v>1979</v>
      </c>
      <c r="N39" s="32"/>
      <c r="O39" s="37" t="s">
        <v>1980</v>
      </c>
      <c r="P39" s="35"/>
      <c r="Q39" s="35"/>
    </row>
    <row r="40">
      <c r="A40" s="22">
        <v>2.0</v>
      </c>
      <c r="B40" s="22">
        <v>3.0</v>
      </c>
      <c r="C40" s="2" t="s">
        <v>1973</v>
      </c>
      <c r="D40" s="2" t="s">
        <v>72</v>
      </c>
      <c r="E40" s="2" t="s">
        <v>8</v>
      </c>
      <c r="F40" s="33" t="s">
        <v>1277</v>
      </c>
      <c r="G40" s="33" t="s">
        <v>1278</v>
      </c>
      <c r="H40" s="33"/>
      <c r="I40" s="26" t="s">
        <v>19</v>
      </c>
      <c r="J40" s="26" t="s">
        <v>73</v>
      </c>
      <c r="K40" s="26" t="s">
        <v>2012</v>
      </c>
      <c r="L40" s="26"/>
      <c r="M40" s="34" t="s">
        <v>1979</v>
      </c>
      <c r="N40" s="32"/>
      <c r="O40" s="37" t="s">
        <v>1980</v>
      </c>
      <c r="P40" s="35"/>
      <c r="Q40" s="35"/>
    </row>
    <row r="41">
      <c r="A41" s="22">
        <v>2.0</v>
      </c>
      <c r="B41" s="22">
        <v>3.0</v>
      </c>
      <c r="C41" s="2" t="s">
        <v>1973</v>
      </c>
      <c r="D41" s="2" t="s">
        <v>72</v>
      </c>
      <c r="E41" s="2" t="s">
        <v>8</v>
      </c>
      <c r="F41" s="33" t="s">
        <v>1279</v>
      </c>
      <c r="G41" s="33" t="s">
        <v>2013</v>
      </c>
      <c r="H41" s="33"/>
      <c r="I41" s="26" t="s">
        <v>8</v>
      </c>
      <c r="J41" s="26" t="s">
        <v>77</v>
      </c>
      <c r="K41" s="26" t="s">
        <v>2014</v>
      </c>
      <c r="L41" s="26"/>
      <c r="M41" s="34" t="s">
        <v>1979</v>
      </c>
      <c r="N41" s="32"/>
      <c r="O41" s="37" t="s">
        <v>1980</v>
      </c>
      <c r="P41" s="35"/>
      <c r="Q41" s="35"/>
    </row>
    <row r="42">
      <c r="A42" s="22">
        <v>2.0</v>
      </c>
      <c r="B42" s="22">
        <v>3.0</v>
      </c>
      <c r="C42" s="2" t="s">
        <v>1973</v>
      </c>
      <c r="D42" s="2" t="s">
        <v>72</v>
      </c>
      <c r="E42" s="2"/>
      <c r="F42" s="33"/>
      <c r="G42" s="33"/>
      <c r="H42" s="33"/>
      <c r="I42" s="26" t="s">
        <v>19</v>
      </c>
      <c r="J42" s="26" t="s">
        <v>75</v>
      </c>
      <c r="K42" s="26" t="s">
        <v>2015</v>
      </c>
      <c r="L42" s="26"/>
      <c r="M42" s="34" t="s">
        <v>1979</v>
      </c>
      <c r="N42" s="32"/>
      <c r="O42" s="37" t="s">
        <v>1980</v>
      </c>
      <c r="P42" s="35"/>
      <c r="Q42" s="35"/>
    </row>
    <row r="43">
      <c r="A43" s="2">
        <v>2.0</v>
      </c>
      <c r="B43" s="2">
        <v>4.0</v>
      </c>
      <c r="C43" s="2" t="s">
        <v>1967</v>
      </c>
      <c r="D43" s="2" t="s">
        <v>72</v>
      </c>
      <c r="E43" s="2" t="s">
        <v>19</v>
      </c>
      <c r="F43" s="33" t="s">
        <v>79</v>
      </c>
      <c r="G43" s="33" t="s">
        <v>2016</v>
      </c>
      <c r="H43" s="33"/>
      <c r="I43" s="26"/>
      <c r="J43" s="26"/>
      <c r="K43" s="26"/>
      <c r="L43" s="26"/>
      <c r="M43" s="34" t="s">
        <v>1979</v>
      </c>
      <c r="N43" s="32"/>
      <c r="O43" s="37" t="s">
        <v>1982</v>
      </c>
      <c r="P43" s="35"/>
      <c r="Q43" s="35"/>
    </row>
    <row r="44">
      <c r="A44" s="22">
        <v>2.0</v>
      </c>
      <c r="B44" s="22">
        <v>4.0</v>
      </c>
      <c r="C44" s="2" t="s">
        <v>1967</v>
      </c>
      <c r="D44" s="2" t="s">
        <v>72</v>
      </c>
      <c r="E44" s="2"/>
      <c r="F44" s="33"/>
      <c r="G44" s="33"/>
      <c r="H44" s="33"/>
      <c r="I44" s="26" t="s">
        <v>19</v>
      </c>
      <c r="J44" s="26" t="s">
        <v>923</v>
      </c>
      <c r="K44" s="26" t="s">
        <v>924</v>
      </c>
      <c r="L44" s="26"/>
      <c r="M44" s="34" t="s">
        <v>1979</v>
      </c>
      <c r="N44" s="32"/>
      <c r="O44" s="37" t="s">
        <v>1982</v>
      </c>
      <c r="P44" s="35"/>
      <c r="Q44" s="35"/>
    </row>
    <row r="45">
      <c r="A45" s="22">
        <v>2.0</v>
      </c>
      <c r="B45" s="22">
        <v>4.0</v>
      </c>
      <c r="C45" s="2" t="s">
        <v>1967</v>
      </c>
      <c r="D45" s="2" t="s">
        <v>72</v>
      </c>
      <c r="E45" s="2" t="s">
        <v>8</v>
      </c>
      <c r="F45" s="33" t="s">
        <v>81</v>
      </c>
      <c r="G45" s="33" t="s">
        <v>2017</v>
      </c>
      <c r="H45" s="33"/>
      <c r="I45" s="26"/>
      <c r="J45" s="26"/>
      <c r="K45" s="26"/>
      <c r="L45" s="26"/>
      <c r="M45" s="34" t="s">
        <v>1979</v>
      </c>
      <c r="N45" s="32"/>
      <c r="O45" s="37" t="s">
        <v>1982</v>
      </c>
      <c r="P45" s="35"/>
      <c r="Q45" s="35"/>
    </row>
    <row r="46">
      <c r="A46" s="22">
        <v>2.0</v>
      </c>
      <c r="B46" s="22">
        <v>4.0</v>
      </c>
      <c r="C46" s="2" t="s">
        <v>1967</v>
      </c>
      <c r="D46" s="2" t="s">
        <v>72</v>
      </c>
      <c r="E46" s="2"/>
      <c r="F46" s="33"/>
      <c r="G46" s="33"/>
      <c r="H46" s="33"/>
      <c r="I46" s="26" t="s">
        <v>8</v>
      </c>
      <c r="J46" s="26" t="s">
        <v>925</v>
      </c>
      <c r="K46" s="26" t="s">
        <v>926</v>
      </c>
      <c r="L46" s="26"/>
      <c r="M46" s="34" t="s">
        <v>1979</v>
      </c>
      <c r="N46" s="32"/>
      <c r="O46" s="37" t="s">
        <v>1982</v>
      </c>
      <c r="P46" s="35"/>
      <c r="Q46" s="35"/>
    </row>
    <row r="47">
      <c r="A47" s="22">
        <v>2.0</v>
      </c>
      <c r="B47" s="22">
        <v>4.0</v>
      </c>
      <c r="C47" s="2" t="s">
        <v>1967</v>
      </c>
      <c r="D47" s="2" t="s">
        <v>72</v>
      </c>
      <c r="E47" s="2"/>
      <c r="F47" s="33"/>
      <c r="G47" s="33"/>
      <c r="H47" s="33"/>
      <c r="I47" s="26" t="s">
        <v>19</v>
      </c>
      <c r="J47" s="26" t="s">
        <v>927</v>
      </c>
      <c r="K47" s="26" t="s">
        <v>2018</v>
      </c>
      <c r="L47" s="26"/>
      <c r="M47" s="34" t="s">
        <v>1979</v>
      </c>
      <c r="N47" s="32"/>
      <c r="O47" s="37" t="s">
        <v>1980</v>
      </c>
      <c r="P47" s="37"/>
      <c r="Q47" s="35"/>
    </row>
    <row r="48">
      <c r="A48" s="22">
        <v>2.0</v>
      </c>
      <c r="B48" s="22">
        <v>4.0</v>
      </c>
      <c r="C48" s="2" t="s">
        <v>1967</v>
      </c>
      <c r="D48" s="2" t="s">
        <v>72</v>
      </c>
      <c r="E48" s="2" t="s">
        <v>19</v>
      </c>
      <c r="F48" s="33" t="s">
        <v>83</v>
      </c>
      <c r="G48" s="33" t="s">
        <v>2019</v>
      </c>
      <c r="H48" s="33"/>
      <c r="I48" s="26"/>
      <c r="J48" s="26"/>
      <c r="K48" s="26"/>
      <c r="L48" s="26"/>
      <c r="M48" s="34" t="s">
        <v>1979</v>
      </c>
      <c r="N48" s="32"/>
      <c r="O48" s="37" t="s">
        <v>1980</v>
      </c>
      <c r="P48" s="35"/>
      <c r="Q48" s="35"/>
    </row>
    <row r="49">
      <c r="A49" s="22">
        <v>2.0</v>
      </c>
      <c r="B49" s="22">
        <v>4.0</v>
      </c>
      <c r="C49" s="2" t="s">
        <v>1967</v>
      </c>
      <c r="D49" s="2" t="s">
        <v>72</v>
      </c>
      <c r="E49" s="2" t="s">
        <v>19</v>
      </c>
      <c r="F49" s="33" t="s">
        <v>85</v>
      </c>
      <c r="G49" s="33" t="s">
        <v>86</v>
      </c>
      <c r="H49" s="33"/>
      <c r="I49" s="26"/>
      <c r="J49" s="26"/>
      <c r="K49" s="26"/>
      <c r="L49" s="26"/>
      <c r="M49" s="34" t="s">
        <v>1979</v>
      </c>
      <c r="N49" s="32"/>
      <c r="O49" s="37" t="s">
        <v>1980</v>
      </c>
      <c r="P49" s="35"/>
      <c r="Q49" s="35"/>
    </row>
    <row r="50">
      <c r="A50" s="22">
        <v>2.0</v>
      </c>
      <c r="B50" s="22">
        <v>5.0</v>
      </c>
      <c r="C50" s="12" t="s">
        <v>1971</v>
      </c>
      <c r="D50" s="2" t="s">
        <v>54</v>
      </c>
      <c r="E50" s="2" t="s">
        <v>19</v>
      </c>
      <c r="F50" s="33" t="s">
        <v>1281</v>
      </c>
      <c r="G50" s="33" t="s">
        <v>2020</v>
      </c>
      <c r="H50" s="33"/>
      <c r="I50" s="26"/>
      <c r="J50" s="26"/>
      <c r="K50" s="26"/>
      <c r="L50" s="26"/>
      <c r="M50" s="34" t="s">
        <v>1979</v>
      </c>
      <c r="N50" s="32"/>
      <c r="O50" s="37" t="s">
        <v>1982</v>
      </c>
      <c r="P50" s="35"/>
      <c r="Q50" s="35"/>
    </row>
    <row r="51">
      <c r="A51" s="22">
        <v>2.0</v>
      </c>
      <c r="B51" s="22">
        <v>5.0</v>
      </c>
      <c r="C51" s="12" t="s">
        <v>1971</v>
      </c>
      <c r="D51" s="2" t="s">
        <v>54</v>
      </c>
      <c r="E51" s="2"/>
      <c r="F51" s="33"/>
      <c r="G51" s="33"/>
      <c r="H51" s="33"/>
      <c r="I51" s="26" t="s">
        <v>19</v>
      </c>
      <c r="J51" s="26" t="s">
        <v>929</v>
      </c>
      <c r="K51" s="26" t="s">
        <v>930</v>
      </c>
      <c r="L51" s="26"/>
      <c r="M51" s="34" t="s">
        <v>1979</v>
      </c>
      <c r="N51" s="32"/>
      <c r="O51" s="37" t="s">
        <v>1980</v>
      </c>
      <c r="P51" s="35"/>
      <c r="Q51" s="37" t="s">
        <v>2021</v>
      </c>
    </row>
    <row r="52">
      <c r="A52" s="22">
        <v>2.0</v>
      </c>
      <c r="B52" s="38">
        <v>6.0</v>
      </c>
      <c r="C52" s="2" t="s">
        <v>1973</v>
      </c>
      <c r="D52" s="2" t="s">
        <v>33</v>
      </c>
      <c r="E52" s="2"/>
      <c r="F52" s="33"/>
      <c r="G52" s="33"/>
      <c r="H52" s="33"/>
      <c r="I52" s="26" t="s">
        <v>19</v>
      </c>
      <c r="J52" s="26" t="s">
        <v>87</v>
      </c>
      <c r="K52" s="26" t="s">
        <v>2022</v>
      </c>
      <c r="L52" s="26"/>
      <c r="M52" s="34" t="s">
        <v>1979</v>
      </c>
      <c r="N52" s="32"/>
      <c r="O52" s="37" t="s">
        <v>1980</v>
      </c>
      <c r="P52" s="35"/>
      <c r="Q52" s="35"/>
    </row>
    <row r="53">
      <c r="A53" s="22">
        <v>2.0</v>
      </c>
      <c r="B53" s="22">
        <v>6.0</v>
      </c>
      <c r="C53" s="2" t="s">
        <v>1973</v>
      </c>
      <c r="D53" s="2" t="s">
        <v>33</v>
      </c>
      <c r="E53" s="2" t="s">
        <v>19</v>
      </c>
      <c r="F53" s="33" t="s">
        <v>1285</v>
      </c>
      <c r="G53" s="33" t="s">
        <v>1286</v>
      </c>
      <c r="H53" s="33"/>
      <c r="I53" s="26" t="s">
        <v>19</v>
      </c>
      <c r="J53" s="26" t="s">
        <v>89</v>
      </c>
      <c r="K53" s="26" t="s">
        <v>2023</v>
      </c>
      <c r="L53" s="26"/>
      <c r="M53" s="34" t="s">
        <v>1979</v>
      </c>
      <c r="N53" s="32"/>
      <c r="O53" s="37" t="s">
        <v>1980</v>
      </c>
      <c r="P53" s="35"/>
      <c r="Q53" s="35"/>
    </row>
    <row r="54">
      <c r="A54" s="22">
        <v>2.0</v>
      </c>
      <c r="B54" s="22">
        <v>6.0</v>
      </c>
      <c r="C54" s="2" t="s">
        <v>1973</v>
      </c>
      <c r="D54" s="2" t="s">
        <v>33</v>
      </c>
      <c r="E54" s="2" t="s">
        <v>19</v>
      </c>
      <c r="F54" s="33" t="s">
        <v>1283</v>
      </c>
      <c r="G54" s="33" t="s">
        <v>1284</v>
      </c>
      <c r="H54" s="33"/>
      <c r="I54" s="26" t="s">
        <v>19</v>
      </c>
      <c r="J54" s="26" t="s">
        <v>93</v>
      </c>
      <c r="K54" s="26" t="s">
        <v>2024</v>
      </c>
      <c r="L54" s="26"/>
      <c r="M54" s="34" t="s">
        <v>1979</v>
      </c>
      <c r="N54" s="32"/>
      <c r="O54" s="37" t="s">
        <v>1980</v>
      </c>
      <c r="P54" s="35"/>
      <c r="Q54" s="35"/>
    </row>
    <row r="55">
      <c r="A55" s="22">
        <v>2.0</v>
      </c>
      <c r="B55" s="22">
        <v>6.0</v>
      </c>
      <c r="C55" s="2" t="s">
        <v>1973</v>
      </c>
      <c r="D55" s="2" t="s">
        <v>33</v>
      </c>
      <c r="E55" s="2" t="s">
        <v>8</v>
      </c>
      <c r="F55" s="33"/>
      <c r="G55" s="33"/>
      <c r="H55" s="33"/>
      <c r="I55" s="26" t="s">
        <v>8</v>
      </c>
      <c r="J55" s="26" t="s">
        <v>91</v>
      </c>
      <c r="K55" s="26" t="s">
        <v>2025</v>
      </c>
      <c r="L55" s="26"/>
      <c r="M55" s="34" t="s">
        <v>1979</v>
      </c>
      <c r="N55" s="32"/>
      <c r="O55" s="37" t="s">
        <v>1980</v>
      </c>
      <c r="P55" s="35"/>
      <c r="Q55" s="35"/>
    </row>
    <row r="56">
      <c r="A56" s="22">
        <v>2.0</v>
      </c>
      <c r="B56" s="22">
        <v>7.0</v>
      </c>
      <c r="C56" s="2" t="s">
        <v>1967</v>
      </c>
      <c r="D56" s="2" t="s">
        <v>40</v>
      </c>
      <c r="E56" s="2" t="s">
        <v>8</v>
      </c>
      <c r="F56" s="33" t="s">
        <v>95</v>
      </c>
      <c r="G56" s="33" t="s">
        <v>2026</v>
      </c>
      <c r="H56" s="33"/>
      <c r="I56" s="26"/>
      <c r="J56" s="26"/>
      <c r="K56" s="26"/>
      <c r="L56" s="26"/>
      <c r="M56" s="34" t="s">
        <v>1979</v>
      </c>
      <c r="N56" s="32"/>
      <c r="O56" s="37" t="s">
        <v>1982</v>
      </c>
      <c r="P56" s="35"/>
      <c r="Q56" s="35"/>
    </row>
    <row r="57">
      <c r="A57" s="22">
        <v>2.0</v>
      </c>
      <c r="B57" s="22">
        <v>7.0</v>
      </c>
      <c r="C57" s="2" t="s">
        <v>1967</v>
      </c>
      <c r="D57" s="2" t="s">
        <v>40</v>
      </c>
      <c r="E57" s="2"/>
      <c r="F57" s="33"/>
      <c r="G57" s="33"/>
      <c r="H57" s="33"/>
      <c r="I57" s="26" t="s">
        <v>19</v>
      </c>
      <c r="J57" s="26" t="s">
        <v>933</v>
      </c>
      <c r="K57" s="26" t="s">
        <v>2027</v>
      </c>
      <c r="L57" s="26"/>
      <c r="M57" s="34" t="s">
        <v>1979</v>
      </c>
      <c r="N57" s="32"/>
      <c r="O57" s="37" t="s">
        <v>1980</v>
      </c>
      <c r="P57" s="35"/>
      <c r="Q57" s="35"/>
    </row>
    <row r="58">
      <c r="A58" s="22">
        <v>2.0</v>
      </c>
      <c r="B58" s="22">
        <v>7.0</v>
      </c>
      <c r="C58" s="2" t="s">
        <v>1967</v>
      </c>
      <c r="D58" s="2" t="s">
        <v>40</v>
      </c>
      <c r="E58" s="2" t="s">
        <v>19</v>
      </c>
      <c r="F58" s="33" t="s">
        <v>97</v>
      </c>
      <c r="G58" s="33" t="s">
        <v>2028</v>
      </c>
      <c r="H58" s="33"/>
      <c r="I58" s="26"/>
      <c r="J58" s="26"/>
      <c r="K58" s="26"/>
      <c r="L58" s="26"/>
      <c r="M58" s="34" t="s">
        <v>1979</v>
      </c>
      <c r="N58" s="32"/>
      <c r="O58" s="37" t="s">
        <v>1982</v>
      </c>
      <c r="P58" s="35"/>
      <c r="Q58" s="35"/>
    </row>
    <row r="59">
      <c r="A59" s="22">
        <v>2.0</v>
      </c>
      <c r="B59" s="22">
        <v>7.0</v>
      </c>
      <c r="C59" s="2" t="s">
        <v>1967</v>
      </c>
      <c r="D59" s="2" t="s">
        <v>40</v>
      </c>
      <c r="E59" s="2" t="s">
        <v>8</v>
      </c>
      <c r="F59" s="33" t="s">
        <v>99</v>
      </c>
      <c r="G59" s="33" t="s">
        <v>2029</v>
      </c>
      <c r="H59" s="33"/>
      <c r="I59" s="26"/>
      <c r="J59" s="26"/>
      <c r="K59" s="26"/>
      <c r="L59" s="26"/>
      <c r="M59" s="34" t="s">
        <v>1979</v>
      </c>
      <c r="N59" s="32"/>
      <c r="O59" s="37" t="s">
        <v>1982</v>
      </c>
      <c r="P59" s="35"/>
      <c r="Q59" s="35"/>
    </row>
    <row r="60">
      <c r="A60" s="22">
        <v>2.0</v>
      </c>
      <c r="B60" s="22">
        <v>7.0</v>
      </c>
      <c r="C60" s="2" t="s">
        <v>1967</v>
      </c>
      <c r="D60" s="2" t="s">
        <v>40</v>
      </c>
      <c r="E60" s="2" t="s">
        <v>8</v>
      </c>
      <c r="F60" s="33" t="s">
        <v>101</v>
      </c>
      <c r="G60" s="33" t="s">
        <v>2030</v>
      </c>
      <c r="H60" s="33"/>
      <c r="I60" s="26"/>
      <c r="J60" s="26"/>
      <c r="K60" s="26"/>
      <c r="L60" s="26"/>
      <c r="M60" s="34" t="s">
        <v>1979</v>
      </c>
      <c r="N60" s="32"/>
      <c r="O60" s="37" t="s">
        <v>1982</v>
      </c>
      <c r="P60" s="35"/>
      <c r="Q60" s="35"/>
    </row>
    <row r="61">
      <c r="A61" s="22">
        <v>2.0</v>
      </c>
      <c r="B61" s="22">
        <v>8.0</v>
      </c>
      <c r="C61" s="12" t="s">
        <v>1971</v>
      </c>
      <c r="D61" s="2" t="s">
        <v>59</v>
      </c>
      <c r="E61" s="2" t="s">
        <v>8</v>
      </c>
      <c r="F61" s="33" t="s">
        <v>1287</v>
      </c>
      <c r="G61" s="33" t="s">
        <v>2031</v>
      </c>
      <c r="H61" s="33"/>
      <c r="I61" s="26"/>
      <c r="J61" s="26"/>
      <c r="K61" s="26"/>
      <c r="L61" s="26"/>
      <c r="M61" s="34" t="s">
        <v>1979</v>
      </c>
      <c r="N61" s="32"/>
      <c r="O61" s="37" t="s">
        <v>1982</v>
      </c>
      <c r="P61" s="35"/>
      <c r="Q61" s="35"/>
    </row>
    <row r="62">
      <c r="A62" s="22">
        <v>2.0</v>
      </c>
      <c r="B62" s="22">
        <v>8.0</v>
      </c>
      <c r="C62" s="12" t="s">
        <v>1971</v>
      </c>
      <c r="D62" s="2" t="s">
        <v>59</v>
      </c>
      <c r="E62" s="2"/>
      <c r="F62" s="33"/>
      <c r="G62" s="33"/>
      <c r="H62" s="33"/>
      <c r="I62" s="26" t="s">
        <v>8</v>
      </c>
      <c r="J62" s="26" t="s">
        <v>935</v>
      </c>
      <c r="K62" s="26" t="s">
        <v>2032</v>
      </c>
      <c r="L62" s="26"/>
      <c r="M62" s="34" t="s">
        <v>1979</v>
      </c>
      <c r="N62" s="32"/>
      <c r="O62" s="37" t="s">
        <v>1980</v>
      </c>
      <c r="P62" s="35"/>
      <c r="Q62" s="35"/>
    </row>
    <row r="63">
      <c r="A63" s="22">
        <v>2.0</v>
      </c>
      <c r="B63" s="22">
        <v>9.0</v>
      </c>
      <c r="C63" s="2" t="s">
        <v>1973</v>
      </c>
      <c r="D63" s="2" t="s">
        <v>47</v>
      </c>
      <c r="E63" s="2" t="s">
        <v>8</v>
      </c>
      <c r="F63" s="33" t="s">
        <v>1289</v>
      </c>
      <c r="G63" s="33" t="s">
        <v>2033</v>
      </c>
      <c r="H63" s="33"/>
      <c r="I63" s="26" t="s">
        <v>8</v>
      </c>
      <c r="J63" s="26" t="s">
        <v>103</v>
      </c>
      <c r="K63" s="26" t="s">
        <v>2010</v>
      </c>
      <c r="L63" s="26"/>
      <c r="M63" s="34" t="s">
        <v>1979</v>
      </c>
      <c r="N63" s="32"/>
      <c r="O63" s="37" t="s">
        <v>1980</v>
      </c>
      <c r="P63" s="35"/>
      <c r="Q63" s="35"/>
    </row>
    <row r="64">
      <c r="A64" s="39">
        <v>2.0</v>
      </c>
      <c r="B64" s="39">
        <v>10.0</v>
      </c>
      <c r="C64" s="40" t="s">
        <v>1967</v>
      </c>
      <c r="D64" s="40" t="s">
        <v>28</v>
      </c>
      <c r="E64" s="2" t="s">
        <v>8</v>
      </c>
      <c r="F64" s="33" t="s">
        <v>105</v>
      </c>
      <c r="G64" s="33" t="s">
        <v>2034</v>
      </c>
      <c r="H64" s="33"/>
      <c r="I64" s="26" t="s">
        <v>8</v>
      </c>
      <c r="J64" s="26" t="s">
        <v>937</v>
      </c>
      <c r="K64" s="26" t="s">
        <v>938</v>
      </c>
      <c r="L64" s="26"/>
      <c r="M64" s="34" t="s">
        <v>1979</v>
      </c>
      <c r="N64" s="32"/>
      <c r="O64" s="37" t="s">
        <v>1982</v>
      </c>
      <c r="P64" s="35"/>
      <c r="Q64" s="35"/>
    </row>
    <row r="65">
      <c r="A65" s="22">
        <v>2.0</v>
      </c>
      <c r="B65" s="22">
        <v>11.0</v>
      </c>
      <c r="C65" s="12" t="s">
        <v>1971</v>
      </c>
      <c r="D65" s="2" t="s">
        <v>54</v>
      </c>
      <c r="E65" s="2" t="s">
        <v>19</v>
      </c>
      <c r="F65" s="33" t="s">
        <v>1291</v>
      </c>
      <c r="G65" s="33" t="s">
        <v>1282</v>
      </c>
      <c r="H65" s="33"/>
      <c r="I65" s="26"/>
      <c r="J65" s="26"/>
      <c r="K65" s="26"/>
      <c r="L65" s="26"/>
      <c r="M65" s="34" t="s">
        <v>1979</v>
      </c>
      <c r="N65" s="32"/>
      <c r="O65" s="37" t="s">
        <v>1982</v>
      </c>
      <c r="P65" s="35"/>
      <c r="Q65" s="37" t="s">
        <v>2035</v>
      </c>
    </row>
    <row r="66">
      <c r="A66" s="22">
        <v>2.0</v>
      </c>
      <c r="B66" s="22">
        <v>11.0</v>
      </c>
      <c r="C66" s="12" t="s">
        <v>1971</v>
      </c>
      <c r="D66" s="2" t="s">
        <v>54</v>
      </c>
      <c r="E66" s="2"/>
      <c r="F66" s="33"/>
      <c r="G66" s="33"/>
      <c r="H66" s="33"/>
      <c r="I66" s="26" t="s">
        <v>19</v>
      </c>
      <c r="J66" s="26" t="s">
        <v>939</v>
      </c>
      <c r="K66" s="26" t="s">
        <v>2036</v>
      </c>
      <c r="L66" s="26"/>
      <c r="M66" s="34" t="s">
        <v>1979</v>
      </c>
      <c r="N66" s="32"/>
      <c r="O66" s="37" t="s">
        <v>1980</v>
      </c>
      <c r="P66" s="35"/>
      <c r="Q66" s="35"/>
    </row>
    <row r="67">
      <c r="A67" s="22">
        <v>2.0</v>
      </c>
      <c r="B67" s="22">
        <v>12.0</v>
      </c>
      <c r="C67" s="2" t="s">
        <v>1973</v>
      </c>
      <c r="D67" s="2" t="s">
        <v>33</v>
      </c>
      <c r="E67" s="2" t="s">
        <v>19</v>
      </c>
      <c r="F67" s="33" t="s">
        <v>1292</v>
      </c>
      <c r="G67" s="33" t="s">
        <v>2037</v>
      </c>
      <c r="H67" s="33"/>
      <c r="I67" s="26" t="s">
        <v>19</v>
      </c>
      <c r="J67" s="26" t="s">
        <v>107</v>
      </c>
      <c r="K67" s="26" t="s">
        <v>108</v>
      </c>
      <c r="L67" s="26"/>
      <c r="M67" s="34" t="s">
        <v>1979</v>
      </c>
      <c r="N67" s="32"/>
      <c r="O67" s="37" t="s">
        <v>1982</v>
      </c>
      <c r="P67" s="35"/>
      <c r="Q67" s="35"/>
    </row>
    <row r="68">
      <c r="A68" s="22">
        <v>2.0</v>
      </c>
      <c r="B68" s="22">
        <v>13.0</v>
      </c>
      <c r="C68" s="40" t="s">
        <v>1967</v>
      </c>
      <c r="D68" s="2" t="s">
        <v>40</v>
      </c>
      <c r="E68" s="2" t="s">
        <v>19</v>
      </c>
      <c r="F68" s="33" t="s">
        <v>109</v>
      </c>
      <c r="G68" s="33" t="s">
        <v>2038</v>
      </c>
      <c r="H68" s="33"/>
      <c r="I68" s="26"/>
      <c r="J68" s="26"/>
      <c r="K68" s="26"/>
      <c r="L68" s="26"/>
      <c r="M68" s="34" t="s">
        <v>1979</v>
      </c>
      <c r="N68" s="32"/>
      <c r="O68" s="37" t="s">
        <v>1982</v>
      </c>
      <c r="P68" s="35"/>
      <c r="Q68" s="35"/>
    </row>
    <row r="69">
      <c r="A69" s="22">
        <v>2.0</v>
      </c>
      <c r="B69" s="22">
        <v>13.0</v>
      </c>
      <c r="C69" s="40" t="s">
        <v>1967</v>
      </c>
      <c r="D69" s="2" t="s">
        <v>40</v>
      </c>
      <c r="E69" s="2"/>
      <c r="F69" s="33"/>
      <c r="G69" s="33"/>
      <c r="H69" s="33"/>
      <c r="I69" s="26" t="s">
        <v>8</v>
      </c>
      <c r="J69" s="26" t="s">
        <v>941</v>
      </c>
      <c r="K69" s="26" t="s">
        <v>942</v>
      </c>
      <c r="L69" s="26"/>
      <c r="M69" s="34" t="s">
        <v>1979</v>
      </c>
      <c r="N69" s="32"/>
      <c r="O69" s="37" t="s">
        <v>1982</v>
      </c>
      <c r="P69" s="35"/>
      <c r="Q69" s="35"/>
    </row>
    <row r="70">
      <c r="A70" s="22">
        <v>2.0</v>
      </c>
      <c r="B70" s="22">
        <v>14.0</v>
      </c>
      <c r="C70" s="12" t="s">
        <v>1971</v>
      </c>
      <c r="D70" s="2" t="s">
        <v>47</v>
      </c>
      <c r="E70" s="2" t="s">
        <v>8</v>
      </c>
      <c r="F70" s="33" t="s">
        <v>1294</v>
      </c>
      <c r="G70" s="33" t="s">
        <v>2039</v>
      </c>
      <c r="H70" s="33"/>
      <c r="I70" s="26" t="s">
        <v>8</v>
      </c>
      <c r="J70" s="26" t="s">
        <v>943</v>
      </c>
      <c r="K70" s="26" t="s">
        <v>944</v>
      </c>
      <c r="L70" s="26"/>
      <c r="M70" s="34" t="s">
        <v>1979</v>
      </c>
      <c r="N70" s="32"/>
      <c r="O70" s="37" t="s">
        <v>1982</v>
      </c>
      <c r="P70" s="35"/>
      <c r="Q70" s="35"/>
    </row>
    <row r="71">
      <c r="A71" s="22">
        <v>2.0</v>
      </c>
      <c r="B71" s="22">
        <v>14.0</v>
      </c>
      <c r="C71" s="12" t="s">
        <v>1971</v>
      </c>
      <c r="D71" s="2" t="s">
        <v>47</v>
      </c>
      <c r="E71" s="2" t="s">
        <v>19</v>
      </c>
      <c r="F71" s="33" t="s">
        <v>1296</v>
      </c>
      <c r="G71" s="33" t="s">
        <v>2018</v>
      </c>
      <c r="H71" s="33"/>
      <c r="I71" s="26"/>
      <c r="J71" s="26"/>
      <c r="K71" s="26"/>
      <c r="L71" s="26"/>
      <c r="M71" s="34" t="s">
        <v>1979</v>
      </c>
      <c r="N71" s="32"/>
      <c r="O71" s="37" t="s">
        <v>1982</v>
      </c>
      <c r="P71" s="35"/>
      <c r="Q71" s="35"/>
    </row>
    <row r="72">
      <c r="A72" s="22">
        <v>2.0</v>
      </c>
      <c r="B72" s="22">
        <v>14.0</v>
      </c>
      <c r="C72" s="12" t="s">
        <v>1971</v>
      </c>
      <c r="D72" s="2" t="s">
        <v>47</v>
      </c>
      <c r="E72" s="2" t="s">
        <v>8</v>
      </c>
      <c r="F72" s="33" t="s">
        <v>1298</v>
      </c>
      <c r="G72" s="33" t="s">
        <v>1299</v>
      </c>
      <c r="H72" s="33"/>
      <c r="I72" s="26" t="s">
        <v>8</v>
      </c>
      <c r="J72" s="26" t="s">
        <v>945</v>
      </c>
      <c r="K72" s="26" t="s">
        <v>2040</v>
      </c>
      <c r="L72" s="26"/>
      <c r="M72" s="34" t="s">
        <v>1979</v>
      </c>
      <c r="N72" s="32"/>
      <c r="O72" s="37" t="s">
        <v>1980</v>
      </c>
      <c r="P72" s="35"/>
      <c r="Q72" s="35"/>
    </row>
    <row r="73">
      <c r="A73" s="22">
        <v>2.0</v>
      </c>
      <c r="B73" s="22">
        <v>15.0</v>
      </c>
      <c r="C73" s="2" t="s">
        <v>1973</v>
      </c>
      <c r="D73" s="2" t="s">
        <v>28</v>
      </c>
      <c r="E73" s="2" t="s">
        <v>19</v>
      </c>
      <c r="F73" s="33" t="s">
        <v>1300</v>
      </c>
      <c r="G73" s="33" t="s">
        <v>1301</v>
      </c>
      <c r="H73" s="33"/>
      <c r="I73" s="26" t="s">
        <v>19</v>
      </c>
      <c r="J73" s="26" t="s">
        <v>111</v>
      </c>
      <c r="K73" s="26" t="s">
        <v>2041</v>
      </c>
      <c r="L73" s="26"/>
      <c r="M73" s="34" t="s">
        <v>1979</v>
      </c>
      <c r="N73" s="32"/>
      <c r="O73" s="37" t="s">
        <v>1980</v>
      </c>
      <c r="P73" s="35"/>
      <c r="Q73" s="35"/>
    </row>
    <row r="74">
      <c r="A74" s="22">
        <v>2.0</v>
      </c>
      <c r="B74" s="22">
        <v>16.0</v>
      </c>
      <c r="C74" s="40" t="s">
        <v>1967</v>
      </c>
      <c r="D74" s="2" t="s">
        <v>72</v>
      </c>
      <c r="E74" s="2" t="s">
        <v>8</v>
      </c>
      <c r="F74" s="33" t="s">
        <v>113</v>
      </c>
      <c r="G74" s="33" t="s">
        <v>2042</v>
      </c>
      <c r="H74" s="33"/>
      <c r="I74" s="26"/>
      <c r="J74" s="26"/>
      <c r="K74" s="26"/>
      <c r="L74" s="26"/>
      <c r="M74" s="34" t="s">
        <v>1979</v>
      </c>
      <c r="N74" s="32"/>
      <c r="O74" s="37" t="s">
        <v>1982</v>
      </c>
      <c r="P74" s="35"/>
      <c r="Q74" s="35"/>
    </row>
    <row r="75">
      <c r="A75" s="22">
        <v>2.0</v>
      </c>
      <c r="B75" s="22">
        <v>16.0</v>
      </c>
      <c r="C75" s="40" t="s">
        <v>1967</v>
      </c>
      <c r="D75" s="2" t="s">
        <v>72</v>
      </c>
      <c r="E75" s="2"/>
      <c r="F75" s="33"/>
      <c r="G75" s="33"/>
      <c r="H75" s="33"/>
      <c r="I75" s="26" t="s">
        <v>19</v>
      </c>
      <c r="J75" s="26" t="s">
        <v>950</v>
      </c>
      <c r="K75" s="26" t="s">
        <v>2043</v>
      </c>
      <c r="L75" s="26"/>
      <c r="M75" s="34" t="s">
        <v>1979</v>
      </c>
      <c r="N75" s="32"/>
      <c r="O75" s="37" t="s">
        <v>1980</v>
      </c>
      <c r="P75" s="35"/>
      <c r="Q75" s="35"/>
    </row>
    <row r="76">
      <c r="A76" s="2">
        <v>3.0</v>
      </c>
      <c r="B76" s="2">
        <v>1.0</v>
      </c>
      <c r="C76" s="2" t="s">
        <v>1967</v>
      </c>
      <c r="D76" s="2" t="s">
        <v>7</v>
      </c>
      <c r="E76" s="2" t="s">
        <v>19</v>
      </c>
      <c r="F76" s="33" t="s">
        <v>117</v>
      </c>
      <c r="G76" s="33" t="s">
        <v>2044</v>
      </c>
      <c r="H76" s="33"/>
      <c r="I76" s="26" t="s">
        <v>19</v>
      </c>
      <c r="J76" s="26" t="s">
        <v>117</v>
      </c>
      <c r="K76" s="26" t="s">
        <v>118</v>
      </c>
      <c r="L76" s="26"/>
      <c r="M76" s="32" t="s">
        <v>1979</v>
      </c>
      <c r="N76" s="32" t="s">
        <v>1979</v>
      </c>
      <c r="O76" s="37"/>
      <c r="P76" s="35"/>
      <c r="Q76" s="35"/>
    </row>
    <row r="77">
      <c r="A77" s="2">
        <v>3.0</v>
      </c>
      <c r="B77" s="2">
        <v>1.0</v>
      </c>
      <c r="C77" s="2" t="s">
        <v>1967</v>
      </c>
      <c r="D77" s="2" t="s">
        <v>7</v>
      </c>
      <c r="E77" s="2" t="s">
        <v>19</v>
      </c>
      <c r="F77" s="33" t="s">
        <v>119</v>
      </c>
      <c r="G77" s="33" t="s">
        <v>2045</v>
      </c>
      <c r="H77" s="33"/>
      <c r="I77" s="26" t="s">
        <v>19</v>
      </c>
      <c r="J77" s="26" t="s">
        <v>119</v>
      </c>
      <c r="K77" s="26" t="s">
        <v>120</v>
      </c>
      <c r="L77" s="26"/>
      <c r="M77" s="32" t="s">
        <v>1979</v>
      </c>
      <c r="N77" s="32" t="s">
        <v>1979</v>
      </c>
      <c r="O77" s="37"/>
      <c r="P77" s="35"/>
      <c r="Q77" s="35"/>
    </row>
    <row r="78">
      <c r="A78" s="2">
        <v>3.0</v>
      </c>
      <c r="B78" s="2">
        <v>1.0</v>
      </c>
      <c r="C78" s="2" t="s">
        <v>1967</v>
      </c>
      <c r="D78" s="2" t="s">
        <v>7</v>
      </c>
      <c r="E78" s="2" t="s">
        <v>19</v>
      </c>
      <c r="F78" s="33" t="s">
        <v>121</v>
      </c>
      <c r="G78" s="33" t="s">
        <v>2046</v>
      </c>
      <c r="H78" s="33"/>
      <c r="I78" s="26" t="s">
        <v>19</v>
      </c>
      <c r="J78" s="26" t="s">
        <v>121</v>
      </c>
      <c r="K78" s="26" t="s">
        <v>122</v>
      </c>
      <c r="L78" s="26"/>
      <c r="M78" s="32" t="s">
        <v>1979</v>
      </c>
      <c r="N78" s="32" t="s">
        <v>1979</v>
      </c>
      <c r="O78" s="37"/>
      <c r="P78" s="35"/>
      <c r="Q78" s="35"/>
    </row>
    <row r="79">
      <c r="A79" s="2">
        <v>3.0</v>
      </c>
      <c r="B79" s="2">
        <v>1.0</v>
      </c>
      <c r="C79" s="2" t="s">
        <v>1967</v>
      </c>
      <c r="D79" s="2" t="s">
        <v>7</v>
      </c>
      <c r="E79" s="2" t="s">
        <v>19</v>
      </c>
      <c r="F79" s="33" t="s">
        <v>123</v>
      </c>
      <c r="G79" s="33" t="s">
        <v>2047</v>
      </c>
      <c r="H79" s="33"/>
      <c r="I79" s="26" t="s">
        <v>19</v>
      </c>
      <c r="J79" s="26" t="s">
        <v>954</v>
      </c>
      <c r="K79" s="26" t="s">
        <v>2048</v>
      </c>
      <c r="L79" s="26"/>
      <c r="M79" s="32"/>
      <c r="N79" s="32"/>
      <c r="O79" s="37"/>
      <c r="P79" s="35"/>
      <c r="Q79" s="35"/>
    </row>
    <row r="80" ht="255.0" customHeight="1">
      <c r="A80" s="22">
        <v>3.0</v>
      </c>
      <c r="B80" s="22">
        <v>2.0</v>
      </c>
      <c r="C80" s="2" t="s">
        <v>1971</v>
      </c>
      <c r="D80" s="2" t="s">
        <v>59</v>
      </c>
      <c r="E80" s="2" t="s">
        <v>8</v>
      </c>
      <c r="F80" s="33" t="s">
        <v>2049</v>
      </c>
      <c r="G80" s="33" t="s">
        <v>2050</v>
      </c>
      <c r="H80" s="33"/>
      <c r="I80" s="26" t="s">
        <v>8</v>
      </c>
      <c r="J80" s="26" t="s">
        <v>1302</v>
      </c>
      <c r="K80" s="26" t="s">
        <v>2051</v>
      </c>
      <c r="L80" s="26"/>
      <c r="M80" s="32" t="s">
        <v>1979</v>
      </c>
      <c r="N80" s="32" t="s">
        <v>1979</v>
      </c>
      <c r="O80" s="37"/>
      <c r="P80" s="35"/>
      <c r="Q80" s="35"/>
    </row>
    <row r="81">
      <c r="A81" s="22">
        <v>3.0</v>
      </c>
      <c r="B81" s="22">
        <v>2.0</v>
      </c>
      <c r="C81" s="2" t="s">
        <v>1971</v>
      </c>
      <c r="D81" s="2" t="s">
        <v>59</v>
      </c>
      <c r="E81" s="2" t="s">
        <v>19</v>
      </c>
      <c r="F81" s="33" t="s">
        <v>1304</v>
      </c>
      <c r="G81" s="33" t="s">
        <v>2052</v>
      </c>
      <c r="H81" s="33"/>
      <c r="I81" s="26" t="s">
        <v>19</v>
      </c>
      <c r="J81" s="26" t="s">
        <v>1304</v>
      </c>
      <c r="K81" s="26" t="s">
        <v>2053</v>
      </c>
      <c r="L81" s="26"/>
      <c r="M81" s="32"/>
      <c r="N81" s="32"/>
      <c r="O81" s="37"/>
      <c r="P81" s="35"/>
      <c r="Q81" s="35"/>
    </row>
    <row r="82">
      <c r="A82" s="22">
        <v>3.0</v>
      </c>
      <c r="B82" s="22">
        <v>2.0</v>
      </c>
      <c r="C82" s="2" t="s">
        <v>1971</v>
      </c>
      <c r="D82" s="2" t="s">
        <v>59</v>
      </c>
      <c r="E82" s="2" t="s">
        <v>19</v>
      </c>
      <c r="F82" s="33" t="s">
        <v>960</v>
      </c>
      <c r="G82" s="33" t="s">
        <v>2054</v>
      </c>
      <c r="H82" s="33"/>
      <c r="I82" s="26" t="s">
        <v>19</v>
      </c>
      <c r="J82" s="26" t="s">
        <v>960</v>
      </c>
      <c r="K82" s="26" t="s">
        <v>2055</v>
      </c>
      <c r="L82" s="26"/>
      <c r="M82" s="32" t="s">
        <v>1979</v>
      </c>
      <c r="N82" s="32" t="s">
        <v>1979</v>
      </c>
      <c r="O82" s="37"/>
      <c r="P82" s="35"/>
      <c r="Q82" s="35"/>
    </row>
    <row r="83">
      <c r="A83" s="2">
        <v>3.0</v>
      </c>
      <c r="B83" s="2">
        <v>3.0</v>
      </c>
      <c r="C83" s="2" t="s">
        <v>1973</v>
      </c>
      <c r="D83" s="2" t="s">
        <v>28</v>
      </c>
      <c r="E83" s="2" t="s">
        <v>8</v>
      </c>
      <c r="F83" s="33" t="s">
        <v>125</v>
      </c>
      <c r="G83" s="33" t="s">
        <v>2056</v>
      </c>
      <c r="H83" s="33"/>
      <c r="I83" s="26" t="s">
        <v>8</v>
      </c>
      <c r="J83" s="26" t="s">
        <v>1308</v>
      </c>
      <c r="K83" s="26" t="s">
        <v>2057</v>
      </c>
      <c r="L83" s="26"/>
      <c r="M83" s="32"/>
      <c r="N83" s="32"/>
      <c r="O83" s="37"/>
      <c r="P83" s="35"/>
      <c r="Q83" s="35"/>
    </row>
    <row r="84">
      <c r="A84" s="2">
        <v>3.0</v>
      </c>
      <c r="B84" s="2">
        <v>3.0</v>
      </c>
      <c r="C84" s="2" t="s">
        <v>1973</v>
      </c>
      <c r="D84" s="2" t="s">
        <v>28</v>
      </c>
      <c r="E84" s="2" t="s">
        <v>8</v>
      </c>
      <c r="F84" s="33" t="s">
        <v>2058</v>
      </c>
      <c r="G84" s="33" t="s">
        <v>2059</v>
      </c>
      <c r="H84" s="33"/>
      <c r="I84" s="26" t="s">
        <v>8</v>
      </c>
      <c r="J84" s="26" t="s">
        <v>127</v>
      </c>
      <c r="K84" s="26" t="s">
        <v>2060</v>
      </c>
      <c r="L84" s="26"/>
      <c r="M84" s="32" t="s">
        <v>1979</v>
      </c>
      <c r="N84" s="32" t="s">
        <v>1979</v>
      </c>
      <c r="O84" s="37"/>
      <c r="P84" s="35"/>
      <c r="Q84" s="35"/>
    </row>
    <row r="85">
      <c r="A85" s="2">
        <v>3.0</v>
      </c>
      <c r="B85" s="2">
        <v>3.0</v>
      </c>
      <c r="C85" s="2" t="s">
        <v>1973</v>
      </c>
      <c r="D85" s="2" t="s">
        <v>28</v>
      </c>
      <c r="E85" s="2" t="s">
        <v>19</v>
      </c>
      <c r="F85" s="33" t="s">
        <v>129</v>
      </c>
      <c r="G85" s="33" t="s">
        <v>2061</v>
      </c>
      <c r="H85" s="33"/>
      <c r="I85" s="26" t="s">
        <v>19</v>
      </c>
      <c r="J85" s="26" t="s">
        <v>129</v>
      </c>
      <c r="K85" s="26" t="s">
        <v>130</v>
      </c>
      <c r="L85" s="26"/>
      <c r="M85" s="32" t="s">
        <v>1979</v>
      </c>
      <c r="N85" s="32" t="s">
        <v>1979</v>
      </c>
      <c r="O85" s="37"/>
      <c r="P85" s="35"/>
      <c r="Q85" s="35"/>
    </row>
    <row r="86">
      <c r="A86" s="2">
        <v>3.0</v>
      </c>
      <c r="B86" s="2">
        <v>4.0</v>
      </c>
      <c r="C86" s="2" t="s">
        <v>1973</v>
      </c>
      <c r="D86" s="2" t="s">
        <v>28</v>
      </c>
      <c r="E86" s="2" t="s">
        <v>19</v>
      </c>
      <c r="F86" s="33" t="s">
        <v>133</v>
      </c>
      <c r="G86" s="33" t="s">
        <v>2062</v>
      </c>
      <c r="H86" s="33"/>
      <c r="I86" s="26" t="s">
        <v>19</v>
      </c>
      <c r="J86" s="26" t="s">
        <v>133</v>
      </c>
      <c r="K86" s="26" t="s">
        <v>2063</v>
      </c>
      <c r="L86" s="26"/>
      <c r="M86" s="32" t="s">
        <v>1979</v>
      </c>
      <c r="N86" s="32" t="s">
        <v>1979</v>
      </c>
      <c r="O86" s="41"/>
      <c r="P86" s="35"/>
      <c r="Q86" s="35"/>
    </row>
    <row r="87">
      <c r="A87" s="2">
        <v>3.0</v>
      </c>
      <c r="B87" s="2">
        <v>4.0</v>
      </c>
      <c r="C87" s="2" t="s">
        <v>1973</v>
      </c>
      <c r="D87" s="2" t="s">
        <v>28</v>
      </c>
      <c r="E87" s="2" t="s">
        <v>19</v>
      </c>
      <c r="F87" s="33" t="s">
        <v>135</v>
      </c>
      <c r="G87" s="33" t="s">
        <v>2064</v>
      </c>
      <c r="H87" s="33"/>
      <c r="I87" s="26" t="s">
        <v>19</v>
      </c>
      <c r="J87" s="26" t="s">
        <v>135</v>
      </c>
      <c r="K87" s="26" t="s">
        <v>2065</v>
      </c>
      <c r="L87" s="26"/>
      <c r="M87" s="32" t="s">
        <v>1979</v>
      </c>
      <c r="N87" s="32" t="s">
        <v>1979</v>
      </c>
      <c r="O87" s="41"/>
      <c r="P87" s="35"/>
      <c r="Q87" s="35"/>
    </row>
    <row r="88">
      <c r="A88" s="2">
        <v>3.0</v>
      </c>
      <c r="B88" s="2">
        <v>4.0</v>
      </c>
      <c r="C88" s="2" t="s">
        <v>1973</v>
      </c>
      <c r="D88" s="2" t="s">
        <v>28</v>
      </c>
      <c r="E88" s="2" t="s">
        <v>19</v>
      </c>
      <c r="F88" s="33" t="s">
        <v>139</v>
      </c>
      <c r="G88" s="33" t="s">
        <v>2066</v>
      </c>
      <c r="H88" s="33"/>
      <c r="I88" s="26" t="s">
        <v>19</v>
      </c>
      <c r="J88" s="26" t="s">
        <v>1310</v>
      </c>
      <c r="K88" s="26" t="s">
        <v>2067</v>
      </c>
      <c r="L88" s="26"/>
      <c r="M88" s="32"/>
      <c r="N88" s="32"/>
      <c r="O88" s="37"/>
      <c r="P88" s="35"/>
      <c r="Q88" s="35"/>
    </row>
    <row r="89">
      <c r="A89" s="2">
        <v>3.0</v>
      </c>
      <c r="B89" s="2">
        <v>5.0</v>
      </c>
      <c r="C89" s="2" t="s">
        <v>1973</v>
      </c>
      <c r="D89" s="2" t="s">
        <v>47</v>
      </c>
      <c r="E89" s="2" t="s">
        <v>8</v>
      </c>
      <c r="F89" s="33" t="s">
        <v>1312</v>
      </c>
      <c r="G89" s="33" t="s">
        <v>2068</v>
      </c>
      <c r="H89" s="33"/>
      <c r="I89" s="26" t="s">
        <v>8</v>
      </c>
      <c r="J89" s="26" t="s">
        <v>1312</v>
      </c>
      <c r="K89" s="26" t="s">
        <v>2069</v>
      </c>
      <c r="L89" s="26"/>
      <c r="M89" s="32" t="s">
        <v>1979</v>
      </c>
      <c r="N89" s="32" t="s">
        <v>1979</v>
      </c>
      <c r="O89" s="37"/>
      <c r="P89" s="35"/>
      <c r="Q89" s="35"/>
    </row>
    <row r="90">
      <c r="A90" s="2">
        <v>3.0</v>
      </c>
      <c r="B90" s="2">
        <v>5.0</v>
      </c>
      <c r="C90" s="2" t="s">
        <v>1973</v>
      </c>
      <c r="D90" s="2" t="s">
        <v>47</v>
      </c>
      <c r="E90" s="2" t="s">
        <v>8</v>
      </c>
      <c r="F90" s="33" t="s">
        <v>2070</v>
      </c>
      <c r="G90" s="33" t="s">
        <v>2071</v>
      </c>
      <c r="H90" s="33"/>
      <c r="I90" s="26" t="s">
        <v>8</v>
      </c>
      <c r="J90" s="26" t="s">
        <v>2070</v>
      </c>
      <c r="K90" s="26" t="s">
        <v>2072</v>
      </c>
      <c r="L90" s="26"/>
      <c r="M90" s="32" t="s">
        <v>1979</v>
      </c>
      <c r="N90" s="32" t="s">
        <v>1979</v>
      </c>
      <c r="O90" s="37"/>
      <c r="P90" s="35"/>
      <c r="Q90" s="35"/>
    </row>
    <row r="91">
      <c r="A91" s="2">
        <v>3.0</v>
      </c>
      <c r="B91" s="2">
        <v>5.0</v>
      </c>
      <c r="C91" s="2" t="s">
        <v>1973</v>
      </c>
      <c r="D91" s="2" t="s">
        <v>47</v>
      </c>
      <c r="E91" s="2" t="s">
        <v>19</v>
      </c>
      <c r="F91" s="33" t="s">
        <v>143</v>
      </c>
      <c r="G91" s="33" t="s">
        <v>2073</v>
      </c>
      <c r="H91" s="33"/>
      <c r="I91" s="26" t="s">
        <v>19</v>
      </c>
      <c r="J91" s="26" t="s">
        <v>1314</v>
      </c>
      <c r="K91" s="26" t="s">
        <v>2074</v>
      </c>
      <c r="L91" s="26"/>
      <c r="M91" s="32"/>
      <c r="N91" s="32"/>
      <c r="O91" s="37"/>
      <c r="P91" s="35"/>
      <c r="Q91" s="35"/>
    </row>
    <row r="92">
      <c r="A92" s="2">
        <v>3.0</v>
      </c>
      <c r="B92" s="2">
        <v>6.0</v>
      </c>
      <c r="C92" s="2" t="s">
        <v>1967</v>
      </c>
      <c r="D92" s="2" t="s">
        <v>40</v>
      </c>
      <c r="E92" s="2" t="s">
        <v>19</v>
      </c>
      <c r="F92" s="33" t="s">
        <v>145</v>
      </c>
      <c r="G92" s="33" t="s">
        <v>2075</v>
      </c>
      <c r="H92" s="33"/>
      <c r="I92" s="26" t="s">
        <v>19</v>
      </c>
      <c r="J92" s="26" t="s">
        <v>962</v>
      </c>
      <c r="K92" s="26" t="s">
        <v>2076</v>
      </c>
      <c r="L92" s="26"/>
      <c r="M92" s="32"/>
      <c r="N92" s="32"/>
      <c r="O92" s="37"/>
      <c r="P92" s="35"/>
      <c r="Q92" s="35"/>
    </row>
    <row r="93">
      <c r="A93" s="2">
        <v>3.0</v>
      </c>
      <c r="B93" s="2">
        <v>6.0</v>
      </c>
      <c r="C93" s="2" t="s">
        <v>1967</v>
      </c>
      <c r="D93" s="2" t="s">
        <v>40</v>
      </c>
      <c r="E93" s="2" t="s">
        <v>19</v>
      </c>
      <c r="F93" s="33" t="s">
        <v>147</v>
      </c>
      <c r="G93" s="33" t="s">
        <v>2077</v>
      </c>
      <c r="H93" s="33"/>
      <c r="I93" s="26" t="s">
        <v>19</v>
      </c>
      <c r="J93" s="26" t="s">
        <v>147</v>
      </c>
      <c r="K93" s="26" t="s">
        <v>2078</v>
      </c>
      <c r="L93" s="26"/>
      <c r="M93" s="32" t="s">
        <v>1979</v>
      </c>
      <c r="N93" s="32" t="s">
        <v>1979</v>
      </c>
      <c r="O93" s="37"/>
      <c r="P93" s="35"/>
      <c r="Q93" s="35"/>
    </row>
    <row r="94">
      <c r="A94" s="22">
        <v>3.0</v>
      </c>
      <c r="B94" s="22">
        <v>7.0</v>
      </c>
      <c r="C94" s="2" t="s">
        <v>1971</v>
      </c>
      <c r="D94" s="2" t="s">
        <v>33</v>
      </c>
      <c r="E94" s="2" t="s">
        <v>8</v>
      </c>
      <c r="F94" s="33" t="s">
        <v>964</v>
      </c>
      <c r="G94" s="33" t="s">
        <v>2079</v>
      </c>
      <c r="H94" s="33"/>
      <c r="I94" s="26" t="s">
        <v>8</v>
      </c>
      <c r="J94" s="26" t="s">
        <v>1316</v>
      </c>
      <c r="K94" s="26" t="s">
        <v>2080</v>
      </c>
      <c r="L94" s="26"/>
      <c r="M94" s="32"/>
      <c r="N94" s="32"/>
      <c r="O94" s="37"/>
      <c r="P94" s="35"/>
      <c r="Q94" s="35"/>
    </row>
    <row r="95">
      <c r="A95" s="22">
        <v>3.0</v>
      </c>
      <c r="B95" s="22">
        <v>7.0</v>
      </c>
      <c r="C95" s="2" t="s">
        <v>1971</v>
      </c>
      <c r="D95" s="2" t="s">
        <v>33</v>
      </c>
      <c r="E95" s="2" t="s">
        <v>19</v>
      </c>
      <c r="F95" s="33" t="s">
        <v>966</v>
      </c>
      <c r="G95" s="33" t="s">
        <v>2081</v>
      </c>
      <c r="H95" s="33"/>
      <c r="I95" s="26" t="s">
        <v>19</v>
      </c>
      <c r="J95" s="26" t="s">
        <v>1318</v>
      </c>
      <c r="K95" s="26" t="s">
        <v>2082</v>
      </c>
      <c r="L95" s="26"/>
      <c r="M95" s="32"/>
      <c r="N95" s="32"/>
      <c r="O95" s="37"/>
      <c r="P95" s="35"/>
      <c r="Q95" s="35"/>
    </row>
    <row r="96">
      <c r="A96" s="2">
        <v>3.0</v>
      </c>
      <c r="B96" s="2">
        <v>8.0</v>
      </c>
      <c r="C96" s="2" t="s">
        <v>1973</v>
      </c>
      <c r="D96" s="2" t="s">
        <v>54</v>
      </c>
      <c r="E96" s="2" t="s">
        <v>19</v>
      </c>
      <c r="F96" s="33" t="s">
        <v>151</v>
      </c>
      <c r="G96" s="33" t="s">
        <v>2083</v>
      </c>
      <c r="H96" s="33"/>
      <c r="I96" s="26" t="s">
        <v>19</v>
      </c>
      <c r="J96" s="26" t="s">
        <v>151</v>
      </c>
      <c r="K96" s="26" t="s">
        <v>152</v>
      </c>
      <c r="L96" s="26"/>
      <c r="M96" s="32" t="s">
        <v>1979</v>
      </c>
      <c r="N96" s="32" t="s">
        <v>1979</v>
      </c>
      <c r="O96" s="37"/>
      <c r="P96" s="35"/>
      <c r="Q96" s="35"/>
    </row>
    <row r="97">
      <c r="A97" s="2">
        <v>3.0</v>
      </c>
      <c r="B97" s="2">
        <v>8.0</v>
      </c>
      <c r="C97" s="2" t="s">
        <v>1973</v>
      </c>
      <c r="D97" s="2" t="s">
        <v>54</v>
      </c>
      <c r="E97" s="2" t="s">
        <v>19</v>
      </c>
      <c r="F97" s="33" t="s">
        <v>153</v>
      </c>
      <c r="G97" s="33" t="s">
        <v>2084</v>
      </c>
      <c r="H97" s="33"/>
      <c r="I97" s="26" t="s">
        <v>19</v>
      </c>
      <c r="J97" s="26" t="s">
        <v>153</v>
      </c>
      <c r="K97" s="26" t="s">
        <v>2085</v>
      </c>
      <c r="L97" s="26"/>
      <c r="M97" s="32" t="s">
        <v>1979</v>
      </c>
      <c r="N97" s="32" t="s">
        <v>1979</v>
      </c>
      <c r="O97" s="37"/>
      <c r="P97" s="35"/>
      <c r="Q97" s="35"/>
    </row>
    <row r="98">
      <c r="A98" s="2">
        <v>3.0</v>
      </c>
      <c r="B98" s="2">
        <v>8.0</v>
      </c>
      <c r="C98" s="2" t="s">
        <v>1973</v>
      </c>
      <c r="D98" s="2" t="s">
        <v>54</v>
      </c>
      <c r="E98" s="2" t="s">
        <v>19</v>
      </c>
      <c r="F98" s="33" t="s">
        <v>157</v>
      </c>
      <c r="G98" s="33" t="s">
        <v>2086</v>
      </c>
      <c r="H98" s="33"/>
      <c r="I98" s="26" t="s">
        <v>19</v>
      </c>
      <c r="J98" s="26" t="s">
        <v>157</v>
      </c>
      <c r="K98" s="26" t="s">
        <v>2087</v>
      </c>
      <c r="L98" s="26"/>
      <c r="M98" s="32" t="s">
        <v>1979</v>
      </c>
      <c r="N98" s="32" t="s">
        <v>1979</v>
      </c>
      <c r="O98" s="37"/>
      <c r="P98" s="35"/>
      <c r="Q98" s="35"/>
    </row>
    <row r="99">
      <c r="A99" s="2">
        <v>3.0</v>
      </c>
      <c r="B99" s="2">
        <v>8.0</v>
      </c>
      <c r="C99" s="2" t="s">
        <v>1973</v>
      </c>
      <c r="D99" s="2" t="s">
        <v>54</v>
      </c>
      <c r="E99" s="2" t="s">
        <v>19</v>
      </c>
      <c r="F99" s="33" t="s">
        <v>159</v>
      </c>
      <c r="G99" s="33" t="s">
        <v>2088</v>
      </c>
      <c r="H99" s="33"/>
      <c r="I99" s="26" t="s">
        <v>19</v>
      </c>
      <c r="J99" s="26" t="s">
        <v>159</v>
      </c>
      <c r="K99" s="26" t="s">
        <v>2089</v>
      </c>
      <c r="L99" s="26"/>
      <c r="M99" s="32" t="s">
        <v>1979</v>
      </c>
      <c r="N99" s="32" t="s">
        <v>1979</v>
      </c>
      <c r="O99" s="37"/>
      <c r="P99" s="35"/>
      <c r="Q99" s="35"/>
    </row>
    <row r="100">
      <c r="A100" s="22">
        <v>3.0</v>
      </c>
      <c r="B100" s="22">
        <v>8.0</v>
      </c>
      <c r="C100" s="2" t="s">
        <v>1973</v>
      </c>
      <c r="D100" s="2" t="s">
        <v>54</v>
      </c>
      <c r="E100" s="2" t="s">
        <v>8</v>
      </c>
      <c r="F100" s="33" t="s">
        <v>1320</v>
      </c>
      <c r="G100" s="33" t="s">
        <v>2090</v>
      </c>
      <c r="H100" s="33"/>
      <c r="I100" s="26" t="s">
        <v>8</v>
      </c>
      <c r="J100" s="26" t="s">
        <v>1320</v>
      </c>
      <c r="K100" s="26" t="s">
        <v>2091</v>
      </c>
      <c r="L100" s="26"/>
      <c r="M100" s="32" t="s">
        <v>1979</v>
      </c>
      <c r="N100" s="32" t="s">
        <v>1979</v>
      </c>
      <c r="O100" s="37"/>
      <c r="P100" s="35"/>
      <c r="Q100" s="35"/>
    </row>
    <row r="101">
      <c r="A101" s="22">
        <v>3.0</v>
      </c>
      <c r="B101" s="22">
        <v>8.0</v>
      </c>
      <c r="C101" s="2" t="s">
        <v>1973</v>
      </c>
      <c r="D101" s="2" t="s">
        <v>54</v>
      </c>
      <c r="E101" s="2" t="s">
        <v>19</v>
      </c>
      <c r="F101" s="33" t="s">
        <v>1326</v>
      </c>
      <c r="G101" s="33" t="s">
        <v>2092</v>
      </c>
      <c r="H101" s="33"/>
      <c r="I101" s="26" t="s">
        <v>19</v>
      </c>
      <c r="J101" s="26" t="s">
        <v>1326</v>
      </c>
      <c r="K101" s="26" t="s">
        <v>1327</v>
      </c>
      <c r="L101" s="26"/>
      <c r="M101" s="32" t="s">
        <v>1979</v>
      </c>
      <c r="N101" s="32" t="s">
        <v>1979</v>
      </c>
      <c r="O101" s="37"/>
      <c r="P101" s="35"/>
      <c r="Q101" s="35"/>
    </row>
    <row r="102">
      <c r="A102" s="2">
        <v>3.0</v>
      </c>
      <c r="B102" s="2">
        <v>9.0</v>
      </c>
      <c r="C102" s="2" t="s">
        <v>1973</v>
      </c>
      <c r="D102" s="2" t="s">
        <v>72</v>
      </c>
      <c r="E102" s="2" t="s">
        <v>8</v>
      </c>
      <c r="F102" s="33" t="s">
        <v>163</v>
      </c>
      <c r="G102" s="33" t="s">
        <v>2093</v>
      </c>
      <c r="H102" s="33"/>
      <c r="I102" s="26" t="s">
        <v>8</v>
      </c>
      <c r="J102" s="26" t="s">
        <v>1328</v>
      </c>
      <c r="K102" s="26" t="s">
        <v>2094</v>
      </c>
      <c r="L102" s="26"/>
      <c r="M102" s="32"/>
      <c r="N102" s="32"/>
      <c r="O102" s="37"/>
      <c r="P102" s="35"/>
      <c r="Q102" s="35"/>
    </row>
    <row r="103">
      <c r="A103" s="2">
        <v>3.0</v>
      </c>
      <c r="B103" s="2">
        <v>9.0</v>
      </c>
      <c r="C103" s="2" t="s">
        <v>1973</v>
      </c>
      <c r="D103" s="2" t="s">
        <v>72</v>
      </c>
      <c r="E103" s="2" t="s">
        <v>8</v>
      </c>
      <c r="F103" s="33" t="s">
        <v>165</v>
      </c>
      <c r="G103" s="33" t="s">
        <v>2095</v>
      </c>
      <c r="H103" s="33"/>
      <c r="I103" s="26" t="s">
        <v>8</v>
      </c>
      <c r="J103" s="26" t="s">
        <v>165</v>
      </c>
      <c r="K103" s="26" t="s">
        <v>2096</v>
      </c>
      <c r="L103" s="26"/>
      <c r="M103" s="32" t="s">
        <v>1979</v>
      </c>
      <c r="N103" s="32" t="s">
        <v>1979</v>
      </c>
      <c r="O103" s="37"/>
      <c r="P103" s="35"/>
      <c r="Q103" s="35"/>
    </row>
    <row r="104">
      <c r="A104" s="2">
        <v>3.0</v>
      </c>
      <c r="B104" s="2">
        <v>9.0</v>
      </c>
      <c r="C104" s="2" t="s">
        <v>1973</v>
      </c>
      <c r="D104" s="2" t="s">
        <v>72</v>
      </c>
      <c r="E104" s="2" t="s">
        <v>19</v>
      </c>
      <c r="F104" s="33" t="s">
        <v>169</v>
      </c>
      <c r="G104" s="33" t="s">
        <v>2097</v>
      </c>
      <c r="H104" s="33"/>
      <c r="I104" s="26" t="s">
        <v>19</v>
      </c>
      <c r="J104" s="26" t="s">
        <v>169</v>
      </c>
      <c r="K104" s="26" t="s">
        <v>170</v>
      </c>
      <c r="L104" s="26"/>
      <c r="M104" s="32" t="s">
        <v>1979</v>
      </c>
      <c r="N104" s="32" t="s">
        <v>1979</v>
      </c>
      <c r="O104" s="37"/>
      <c r="P104" s="35"/>
      <c r="Q104" s="35"/>
    </row>
    <row r="105">
      <c r="A105" s="2">
        <v>3.0</v>
      </c>
      <c r="B105" s="2">
        <v>10.0</v>
      </c>
      <c r="C105" s="2" t="s">
        <v>1973</v>
      </c>
      <c r="D105" s="10" t="s">
        <v>171</v>
      </c>
      <c r="E105" s="2" t="s">
        <v>8</v>
      </c>
      <c r="F105" s="33" t="s">
        <v>174</v>
      </c>
      <c r="G105" s="33" t="s">
        <v>2098</v>
      </c>
      <c r="H105" s="33"/>
      <c r="I105" s="26" t="s">
        <v>19</v>
      </c>
      <c r="J105" s="26" t="s">
        <v>1334</v>
      </c>
      <c r="K105" s="26" t="s">
        <v>2099</v>
      </c>
      <c r="L105" s="26"/>
      <c r="M105" s="32" t="s">
        <v>1979</v>
      </c>
      <c r="N105" s="32" t="s">
        <v>1979</v>
      </c>
      <c r="O105" s="37"/>
      <c r="P105" s="35"/>
      <c r="Q105" s="35"/>
    </row>
    <row r="106">
      <c r="A106" s="2">
        <v>3.0</v>
      </c>
      <c r="B106" s="2">
        <v>11.0</v>
      </c>
      <c r="C106" s="2" t="s">
        <v>1967</v>
      </c>
      <c r="D106" s="2" t="s">
        <v>176</v>
      </c>
      <c r="E106" s="2" t="s">
        <v>19</v>
      </c>
      <c r="F106" s="33" t="s">
        <v>177</v>
      </c>
      <c r="G106" s="33" t="s">
        <v>2100</v>
      </c>
      <c r="H106" s="33"/>
      <c r="I106" s="26" t="s">
        <v>19</v>
      </c>
      <c r="J106" s="26" t="s">
        <v>968</v>
      </c>
      <c r="K106" s="26" t="s">
        <v>969</v>
      </c>
      <c r="L106" s="26"/>
      <c r="M106" s="32"/>
      <c r="N106" s="32"/>
      <c r="O106" s="37"/>
      <c r="P106" s="35"/>
      <c r="Q106" s="35"/>
    </row>
    <row r="107">
      <c r="A107" s="2">
        <v>4.0</v>
      </c>
      <c r="B107" s="2">
        <v>1.0</v>
      </c>
      <c r="C107" s="2" t="s">
        <v>1967</v>
      </c>
      <c r="D107" s="2" t="s">
        <v>7</v>
      </c>
      <c r="E107" s="2" t="s">
        <v>8</v>
      </c>
      <c r="F107" s="33" t="s">
        <v>179</v>
      </c>
      <c r="G107" s="33" t="s">
        <v>2101</v>
      </c>
      <c r="H107" s="33"/>
      <c r="I107" s="26" t="s">
        <v>8</v>
      </c>
      <c r="J107" s="26" t="s">
        <v>970</v>
      </c>
      <c r="K107" s="26" t="s">
        <v>971</v>
      </c>
      <c r="L107" s="26"/>
      <c r="M107" s="32"/>
      <c r="N107" s="32"/>
      <c r="O107" s="37"/>
      <c r="P107" s="35"/>
      <c r="Q107" s="35"/>
    </row>
    <row r="108">
      <c r="A108" s="2">
        <v>4.0</v>
      </c>
      <c r="B108" s="2">
        <v>1.0</v>
      </c>
      <c r="C108" s="2" t="s">
        <v>1967</v>
      </c>
      <c r="D108" s="2" t="s">
        <v>7</v>
      </c>
      <c r="E108" s="2" t="s">
        <v>19</v>
      </c>
      <c r="F108" s="33" t="s">
        <v>181</v>
      </c>
      <c r="G108" s="33" t="s">
        <v>2102</v>
      </c>
      <c r="H108" s="33"/>
      <c r="I108" s="26" t="s">
        <v>19</v>
      </c>
      <c r="J108" s="26" t="s">
        <v>181</v>
      </c>
      <c r="K108" s="26" t="s">
        <v>182</v>
      </c>
      <c r="L108" s="26"/>
      <c r="M108" s="32" t="s">
        <v>1979</v>
      </c>
      <c r="N108" s="32" t="s">
        <v>1979</v>
      </c>
      <c r="O108" s="37"/>
      <c r="P108" s="35"/>
      <c r="Q108" s="35"/>
    </row>
    <row r="109">
      <c r="A109" s="2">
        <v>4.0</v>
      </c>
      <c r="B109" s="2">
        <v>1.0</v>
      </c>
      <c r="C109" s="2" t="s">
        <v>1967</v>
      </c>
      <c r="D109" s="2" t="s">
        <v>7</v>
      </c>
      <c r="E109" s="2" t="s">
        <v>8</v>
      </c>
      <c r="F109" s="33" t="s">
        <v>183</v>
      </c>
      <c r="G109" s="33" t="s">
        <v>2103</v>
      </c>
      <c r="H109" s="33"/>
      <c r="I109" s="26" t="s">
        <v>8</v>
      </c>
      <c r="J109" s="26" t="s">
        <v>970</v>
      </c>
      <c r="K109" s="26" t="s">
        <v>2104</v>
      </c>
      <c r="L109" s="26"/>
      <c r="M109" s="32" t="s">
        <v>1979</v>
      </c>
      <c r="N109" s="32" t="s">
        <v>1979</v>
      </c>
      <c r="O109" s="37"/>
      <c r="P109" s="35"/>
      <c r="Q109" s="35"/>
    </row>
    <row r="110">
      <c r="A110" s="2">
        <v>4.0</v>
      </c>
      <c r="B110" s="2">
        <v>1.0</v>
      </c>
      <c r="C110" s="2" t="s">
        <v>1967</v>
      </c>
      <c r="D110" s="2" t="s">
        <v>7</v>
      </c>
      <c r="E110" s="2" t="s">
        <v>8</v>
      </c>
      <c r="F110" s="33" t="s">
        <v>972</v>
      </c>
      <c r="G110" s="33" t="s">
        <v>2105</v>
      </c>
      <c r="H110" s="33"/>
      <c r="I110" s="26" t="s">
        <v>8</v>
      </c>
      <c r="J110" s="26" t="s">
        <v>972</v>
      </c>
      <c r="K110" s="26" t="s">
        <v>973</v>
      </c>
      <c r="L110" s="26"/>
      <c r="M110" s="32" t="s">
        <v>1979</v>
      </c>
      <c r="N110" s="32" t="s">
        <v>2106</v>
      </c>
      <c r="O110" s="37"/>
      <c r="P110" s="35"/>
      <c r="Q110" s="35"/>
    </row>
    <row r="111">
      <c r="A111" s="22">
        <v>4.0</v>
      </c>
      <c r="B111" s="22">
        <v>2.0</v>
      </c>
      <c r="C111" s="2" t="s">
        <v>1971</v>
      </c>
      <c r="D111" s="2" t="s">
        <v>7</v>
      </c>
      <c r="E111" s="2" t="s">
        <v>8</v>
      </c>
      <c r="F111" s="33" t="s">
        <v>2107</v>
      </c>
      <c r="G111" s="33" t="s">
        <v>2108</v>
      </c>
      <c r="H111" s="33"/>
      <c r="I111" s="26" t="s">
        <v>8</v>
      </c>
      <c r="J111" s="26" t="s">
        <v>1336</v>
      </c>
      <c r="K111" s="26" t="s">
        <v>2109</v>
      </c>
      <c r="L111" s="26"/>
      <c r="M111" s="37"/>
      <c r="N111" s="37"/>
      <c r="O111" s="37"/>
      <c r="P111" s="35"/>
      <c r="Q111" s="34"/>
    </row>
    <row r="112">
      <c r="A112" s="22">
        <v>4.0</v>
      </c>
      <c r="B112" s="22">
        <v>2.0</v>
      </c>
      <c r="C112" s="2" t="s">
        <v>1971</v>
      </c>
      <c r="D112" s="2" t="s">
        <v>7</v>
      </c>
      <c r="E112" s="2" t="s">
        <v>8</v>
      </c>
      <c r="F112" s="33" t="s">
        <v>2110</v>
      </c>
      <c r="G112" s="33" t="s">
        <v>2111</v>
      </c>
      <c r="H112" s="33"/>
      <c r="I112" s="26" t="s">
        <v>8</v>
      </c>
      <c r="J112" s="26" t="s">
        <v>2110</v>
      </c>
      <c r="K112" s="26" t="s">
        <v>2112</v>
      </c>
      <c r="L112" s="26"/>
      <c r="M112" s="32" t="s">
        <v>1979</v>
      </c>
      <c r="N112" s="32" t="s">
        <v>1979</v>
      </c>
      <c r="O112" s="37"/>
      <c r="P112" s="35"/>
      <c r="Q112" s="35"/>
    </row>
    <row r="113">
      <c r="A113" s="22">
        <v>4.0</v>
      </c>
      <c r="B113" s="22">
        <v>2.0</v>
      </c>
      <c r="C113" s="2" t="s">
        <v>1971</v>
      </c>
      <c r="D113" s="2" t="s">
        <v>7</v>
      </c>
      <c r="E113" s="2" t="s">
        <v>19</v>
      </c>
      <c r="F113" s="33" t="s">
        <v>978</v>
      </c>
      <c r="G113" s="33" t="s">
        <v>2113</v>
      </c>
      <c r="H113" s="33"/>
      <c r="I113" s="26" t="s">
        <v>19</v>
      </c>
      <c r="J113" s="26" t="s">
        <v>978</v>
      </c>
      <c r="K113" s="26" t="s">
        <v>2114</v>
      </c>
      <c r="L113" s="26"/>
      <c r="M113" s="32" t="s">
        <v>1979</v>
      </c>
      <c r="N113" s="32" t="s">
        <v>1979</v>
      </c>
      <c r="O113" s="37"/>
      <c r="P113" s="35"/>
      <c r="Q113" s="35"/>
    </row>
    <row r="114">
      <c r="A114" s="2">
        <v>4.0</v>
      </c>
      <c r="B114" s="2">
        <v>3.0</v>
      </c>
      <c r="C114" s="2" t="s">
        <v>1973</v>
      </c>
      <c r="D114" s="2" t="s">
        <v>7</v>
      </c>
      <c r="E114" s="2" t="s">
        <v>19</v>
      </c>
      <c r="F114" s="33" t="s">
        <v>2115</v>
      </c>
      <c r="G114" s="33" t="s">
        <v>2116</v>
      </c>
      <c r="H114" s="33"/>
      <c r="I114" s="26" t="s">
        <v>19</v>
      </c>
      <c r="J114" s="26" t="s">
        <v>2115</v>
      </c>
      <c r="K114" s="26" t="s">
        <v>2117</v>
      </c>
      <c r="L114" s="26"/>
      <c r="M114" s="32" t="s">
        <v>1979</v>
      </c>
      <c r="N114" s="32" t="s">
        <v>1979</v>
      </c>
      <c r="O114" s="37"/>
      <c r="P114" s="35"/>
      <c r="Q114" s="35"/>
    </row>
    <row r="115">
      <c r="A115" s="2">
        <v>4.0</v>
      </c>
      <c r="B115" s="2">
        <v>3.0</v>
      </c>
      <c r="C115" s="2" t="s">
        <v>1973</v>
      </c>
      <c r="D115" s="2" t="s">
        <v>7</v>
      </c>
      <c r="E115" s="2" t="s">
        <v>19</v>
      </c>
      <c r="F115" s="33" t="s">
        <v>189</v>
      </c>
      <c r="G115" s="33" t="s">
        <v>2118</v>
      </c>
      <c r="H115" s="33"/>
      <c r="I115" s="26" t="s">
        <v>19</v>
      </c>
      <c r="J115" s="26" t="s">
        <v>2119</v>
      </c>
      <c r="K115" s="26" t="s">
        <v>2120</v>
      </c>
      <c r="L115" s="26"/>
      <c r="M115" s="32" t="s">
        <v>1979</v>
      </c>
      <c r="N115" s="32" t="s">
        <v>1979</v>
      </c>
      <c r="O115" s="37"/>
      <c r="P115" s="35"/>
      <c r="Q115" s="35"/>
    </row>
    <row r="116">
      <c r="A116" s="22">
        <v>4.0</v>
      </c>
      <c r="B116" s="22">
        <v>3.0</v>
      </c>
      <c r="C116" s="2" t="s">
        <v>1973</v>
      </c>
      <c r="D116" s="2" t="s">
        <v>7</v>
      </c>
      <c r="E116" s="2" t="s">
        <v>8</v>
      </c>
      <c r="F116" s="33" t="s">
        <v>1340</v>
      </c>
      <c r="G116" s="33" t="s">
        <v>2121</v>
      </c>
      <c r="H116" s="33"/>
      <c r="I116" s="26" t="s">
        <v>8</v>
      </c>
      <c r="J116" s="26" t="s">
        <v>1340</v>
      </c>
      <c r="K116" s="26" t="s">
        <v>2122</v>
      </c>
      <c r="L116" s="26"/>
      <c r="M116" s="32" t="s">
        <v>1979</v>
      </c>
      <c r="N116" s="32" t="s">
        <v>1979</v>
      </c>
      <c r="O116" s="37"/>
      <c r="P116" s="35"/>
      <c r="Q116" s="35"/>
    </row>
    <row r="117">
      <c r="A117" s="2">
        <v>4.0</v>
      </c>
      <c r="B117" s="2">
        <v>4.0</v>
      </c>
      <c r="C117" s="2" t="s">
        <v>1973</v>
      </c>
      <c r="D117" s="2" t="s">
        <v>59</v>
      </c>
      <c r="E117" s="2" t="s">
        <v>8</v>
      </c>
      <c r="F117" s="33" t="s">
        <v>193</v>
      </c>
      <c r="G117" s="33" t="s">
        <v>2123</v>
      </c>
      <c r="H117" s="33"/>
      <c r="I117" s="26" t="s">
        <v>8</v>
      </c>
      <c r="J117" s="26" t="s">
        <v>193</v>
      </c>
      <c r="K117" s="26" t="s">
        <v>2124</v>
      </c>
      <c r="L117" s="26"/>
      <c r="M117" s="32"/>
      <c r="N117" s="32"/>
      <c r="O117" s="37"/>
      <c r="P117" s="35"/>
      <c r="Q117" s="35"/>
    </row>
    <row r="118">
      <c r="A118" s="2">
        <v>4.0</v>
      </c>
      <c r="B118" s="2">
        <v>4.0</v>
      </c>
      <c r="C118" s="2" t="s">
        <v>1973</v>
      </c>
      <c r="D118" s="2" t="s">
        <v>59</v>
      </c>
      <c r="E118" s="2" t="s">
        <v>8</v>
      </c>
      <c r="F118" s="33" t="s">
        <v>195</v>
      </c>
      <c r="G118" s="33" t="s">
        <v>2125</v>
      </c>
      <c r="H118" s="33"/>
      <c r="I118" s="26" t="s">
        <v>8</v>
      </c>
      <c r="J118" s="26" t="s">
        <v>195</v>
      </c>
      <c r="K118" s="26" t="s">
        <v>2126</v>
      </c>
      <c r="L118" s="26"/>
      <c r="M118" s="32" t="s">
        <v>1979</v>
      </c>
      <c r="N118" s="32" t="s">
        <v>1979</v>
      </c>
      <c r="O118" s="37"/>
      <c r="P118" s="35"/>
      <c r="Q118" s="35"/>
    </row>
    <row r="119">
      <c r="A119" s="2">
        <v>4.0</v>
      </c>
      <c r="B119" s="2">
        <v>4.0</v>
      </c>
      <c r="C119" s="2" t="s">
        <v>1973</v>
      </c>
      <c r="D119" s="2" t="s">
        <v>59</v>
      </c>
      <c r="E119" s="2" t="s">
        <v>19</v>
      </c>
      <c r="F119" s="33" t="s">
        <v>199</v>
      </c>
      <c r="G119" s="33" t="s">
        <v>2127</v>
      </c>
      <c r="H119" s="33"/>
      <c r="I119" s="26" t="s">
        <v>19</v>
      </c>
      <c r="J119" s="26" t="s">
        <v>1347</v>
      </c>
      <c r="K119" s="26" t="s">
        <v>2128</v>
      </c>
      <c r="L119" s="26"/>
      <c r="M119" s="32"/>
      <c r="N119" s="32"/>
      <c r="O119" s="37"/>
      <c r="P119" s="35"/>
      <c r="Q119" s="35"/>
    </row>
    <row r="120">
      <c r="A120" s="2">
        <v>4.0</v>
      </c>
      <c r="B120" s="2">
        <v>4.0</v>
      </c>
      <c r="C120" s="2" t="s">
        <v>1973</v>
      </c>
      <c r="D120" s="2" t="s">
        <v>59</v>
      </c>
      <c r="E120" s="2" t="s">
        <v>19</v>
      </c>
      <c r="F120" s="33" t="s">
        <v>201</v>
      </c>
      <c r="G120" s="33" t="s">
        <v>2129</v>
      </c>
      <c r="H120" s="33"/>
      <c r="I120" s="26" t="s">
        <v>19</v>
      </c>
      <c r="J120" s="26" t="s">
        <v>201</v>
      </c>
      <c r="K120" s="26" t="s">
        <v>202</v>
      </c>
      <c r="L120" s="26"/>
      <c r="M120" s="32" t="s">
        <v>1979</v>
      </c>
      <c r="N120" s="32" t="s">
        <v>1979</v>
      </c>
      <c r="O120" s="37"/>
      <c r="P120" s="35"/>
      <c r="Q120" s="35"/>
    </row>
    <row r="121">
      <c r="A121" s="2">
        <v>4.0</v>
      </c>
      <c r="B121" s="2">
        <v>4.0</v>
      </c>
      <c r="C121" s="2" t="s">
        <v>1973</v>
      </c>
      <c r="D121" s="2" t="s">
        <v>59</v>
      </c>
      <c r="E121" s="2" t="s">
        <v>8</v>
      </c>
      <c r="F121" s="33" t="s">
        <v>205</v>
      </c>
      <c r="G121" s="33" t="s">
        <v>2130</v>
      </c>
      <c r="H121" s="33"/>
      <c r="I121" s="26" t="s">
        <v>8</v>
      </c>
      <c r="J121" s="26" t="s">
        <v>205</v>
      </c>
      <c r="K121" s="26" t="s">
        <v>206</v>
      </c>
      <c r="L121" s="26"/>
      <c r="M121" s="32" t="s">
        <v>1979</v>
      </c>
      <c r="N121" s="32" t="s">
        <v>1979</v>
      </c>
      <c r="O121" s="37"/>
      <c r="P121" s="35"/>
      <c r="Q121" s="35"/>
    </row>
    <row r="122">
      <c r="A122" s="2">
        <v>4.0</v>
      </c>
      <c r="B122" s="2">
        <v>4.0</v>
      </c>
      <c r="C122" s="2" t="s">
        <v>1973</v>
      </c>
      <c r="D122" s="2" t="s">
        <v>59</v>
      </c>
      <c r="E122" s="2" t="s">
        <v>19</v>
      </c>
      <c r="F122" s="33" t="s">
        <v>207</v>
      </c>
      <c r="G122" s="33" t="s">
        <v>2131</v>
      </c>
      <c r="H122" s="33"/>
      <c r="I122" s="26" t="s">
        <v>19</v>
      </c>
      <c r="J122" s="26" t="s">
        <v>207</v>
      </c>
      <c r="K122" s="26" t="s">
        <v>2132</v>
      </c>
      <c r="L122" s="26"/>
      <c r="M122" s="32" t="s">
        <v>1979</v>
      </c>
      <c r="N122" s="32" t="s">
        <v>1979</v>
      </c>
      <c r="O122" s="37"/>
      <c r="P122" s="35"/>
      <c r="Q122" s="35"/>
    </row>
    <row r="123">
      <c r="A123" s="2">
        <v>4.0</v>
      </c>
      <c r="B123" s="2">
        <v>5.0</v>
      </c>
      <c r="C123" s="2" t="s">
        <v>1973</v>
      </c>
      <c r="D123" s="2" t="s">
        <v>28</v>
      </c>
      <c r="E123" s="2" t="s">
        <v>8</v>
      </c>
      <c r="F123" s="33" t="s">
        <v>209</v>
      </c>
      <c r="G123" s="33" t="s">
        <v>2133</v>
      </c>
      <c r="H123" s="33"/>
      <c r="I123" s="26" t="s">
        <v>8</v>
      </c>
      <c r="J123" s="26" t="s">
        <v>209</v>
      </c>
      <c r="K123" s="26" t="s">
        <v>2134</v>
      </c>
      <c r="L123" s="26"/>
      <c r="M123" s="32"/>
      <c r="N123" s="32"/>
      <c r="O123" s="32"/>
      <c r="P123" s="34"/>
      <c r="Q123" s="34"/>
    </row>
    <row r="124">
      <c r="A124" s="2">
        <v>4.0</v>
      </c>
      <c r="B124" s="2">
        <v>5.0</v>
      </c>
      <c r="C124" s="2" t="s">
        <v>1973</v>
      </c>
      <c r="D124" s="2" t="s">
        <v>28</v>
      </c>
      <c r="E124" s="2" t="s">
        <v>19</v>
      </c>
      <c r="F124" s="33" t="s">
        <v>211</v>
      </c>
      <c r="G124" s="33" t="s">
        <v>2135</v>
      </c>
      <c r="H124" s="33"/>
      <c r="I124" s="26" t="s">
        <v>19</v>
      </c>
      <c r="J124" s="26" t="s">
        <v>1351</v>
      </c>
      <c r="K124" s="26" t="s">
        <v>2136</v>
      </c>
      <c r="L124" s="26"/>
      <c r="M124" s="32"/>
      <c r="N124" s="32"/>
      <c r="O124" s="37"/>
      <c r="P124" s="35"/>
      <c r="Q124" s="35"/>
    </row>
    <row r="125">
      <c r="A125" s="2">
        <v>4.0</v>
      </c>
      <c r="B125" s="2">
        <v>5.0</v>
      </c>
      <c r="C125" s="2" t="s">
        <v>1973</v>
      </c>
      <c r="D125" s="2" t="s">
        <v>28</v>
      </c>
      <c r="E125" s="2" t="s">
        <v>19</v>
      </c>
      <c r="F125" s="33" t="s">
        <v>213</v>
      </c>
      <c r="G125" s="33" t="s">
        <v>2137</v>
      </c>
      <c r="H125" s="33"/>
      <c r="I125" s="26" t="s">
        <v>19</v>
      </c>
      <c r="J125" s="26" t="s">
        <v>1353</v>
      </c>
      <c r="K125" s="26" t="s">
        <v>2138</v>
      </c>
      <c r="L125" s="26"/>
      <c r="M125" s="32"/>
      <c r="N125" s="32"/>
      <c r="O125" s="37"/>
      <c r="P125" s="35"/>
      <c r="Q125" s="35"/>
    </row>
    <row r="126">
      <c r="A126" s="2">
        <v>4.0</v>
      </c>
      <c r="B126" s="2">
        <v>5.0</v>
      </c>
      <c r="C126" s="2" t="s">
        <v>1973</v>
      </c>
      <c r="D126" s="2" t="s">
        <v>28</v>
      </c>
      <c r="E126" s="2" t="s">
        <v>19</v>
      </c>
      <c r="F126" s="33" t="s">
        <v>215</v>
      </c>
      <c r="G126" s="33" t="s">
        <v>2139</v>
      </c>
      <c r="H126" s="33"/>
      <c r="I126" s="26" t="s">
        <v>19</v>
      </c>
      <c r="J126" s="26" t="s">
        <v>1355</v>
      </c>
      <c r="K126" s="26" t="s">
        <v>2140</v>
      </c>
      <c r="L126" s="26"/>
      <c r="M126" s="32"/>
      <c r="N126" s="32"/>
      <c r="O126" s="37"/>
      <c r="P126" s="35"/>
      <c r="Q126" s="35"/>
    </row>
    <row r="127">
      <c r="A127" s="2">
        <v>4.0</v>
      </c>
      <c r="B127" s="2">
        <v>6.0</v>
      </c>
      <c r="C127" s="2" t="s">
        <v>1967</v>
      </c>
      <c r="D127" s="2" t="s">
        <v>47</v>
      </c>
      <c r="E127" s="2" t="s">
        <v>19</v>
      </c>
      <c r="F127" s="33" t="s">
        <v>217</v>
      </c>
      <c r="G127" s="33" t="s">
        <v>2141</v>
      </c>
      <c r="H127" s="33"/>
      <c r="I127" s="26" t="s">
        <v>19</v>
      </c>
      <c r="J127" s="26" t="s">
        <v>217</v>
      </c>
      <c r="K127" s="26" t="s">
        <v>2142</v>
      </c>
      <c r="L127" s="26"/>
      <c r="M127" s="32" t="s">
        <v>1979</v>
      </c>
      <c r="N127" s="32" t="s">
        <v>2106</v>
      </c>
      <c r="O127" s="37"/>
      <c r="P127" s="35"/>
      <c r="Q127" s="35"/>
    </row>
    <row r="128">
      <c r="A128" s="2">
        <v>4.0</v>
      </c>
      <c r="B128" s="2">
        <v>6.0</v>
      </c>
      <c r="C128" s="2" t="s">
        <v>1967</v>
      </c>
      <c r="D128" s="2" t="s">
        <v>47</v>
      </c>
      <c r="E128" s="2" t="s">
        <v>19</v>
      </c>
      <c r="F128" s="33" t="s">
        <v>221</v>
      </c>
      <c r="G128" s="33" t="s">
        <v>2143</v>
      </c>
      <c r="H128" s="33"/>
      <c r="I128" s="26" t="s">
        <v>19</v>
      </c>
      <c r="J128" s="26" t="s">
        <v>980</v>
      </c>
      <c r="K128" s="26" t="s">
        <v>2144</v>
      </c>
      <c r="L128" s="26"/>
      <c r="M128" s="32"/>
      <c r="N128" s="32"/>
      <c r="O128" s="37"/>
      <c r="P128" s="35"/>
      <c r="Q128" s="35"/>
    </row>
    <row r="129">
      <c r="A129" s="2">
        <v>4.0</v>
      </c>
      <c r="B129" s="2">
        <v>6.0</v>
      </c>
      <c r="C129" s="2" t="s">
        <v>1967</v>
      </c>
      <c r="D129" s="2" t="s">
        <v>47</v>
      </c>
      <c r="E129" s="2" t="s">
        <v>19</v>
      </c>
      <c r="F129" s="33" t="s">
        <v>223</v>
      </c>
      <c r="G129" s="33" t="s">
        <v>2145</v>
      </c>
      <c r="H129" s="33"/>
      <c r="I129" s="26" t="s">
        <v>19</v>
      </c>
      <c r="J129" s="26" t="s">
        <v>223</v>
      </c>
      <c r="K129" s="26" t="s">
        <v>2146</v>
      </c>
      <c r="L129" s="26"/>
      <c r="M129" s="32" t="s">
        <v>1979</v>
      </c>
      <c r="N129" s="32" t="s">
        <v>1979</v>
      </c>
      <c r="O129" s="37"/>
      <c r="P129" s="35"/>
      <c r="Q129" s="35"/>
    </row>
    <row r="130">
      <c r="A130" s="2">
        <v>4.0</v>
      </c>
      <c r="B130" s="2">
        <v>6.0</v>
      </c>
      <c r="C130" s="2" t="s">
        <v>1967</v>
      </c>
      <c r="D130" s="2" t="s">
        <v>47</v>
      </c>
      <c r="E130" s="2" t="s">
        <v>19</v>
      </c>
      <c r="F130" s="33" t="s">
        <v>227</v>
      </c>
      <c r="G130" s="33" t="s">
        <v>2147</v>
      </c>
      <c r="H130" s="33"/>
      <c r="I130" s="26" t="s">
        <v>19</v>
      </c>
      <c r="J130" s="26" t="s">
        <v>227</v>
      </c>
      <c r="K130" s="26" t="s">
        <v>228</v>
      </c>
      <c r="L130" s="26"/>
      <c r="M130" s="32" t="s">
        <v>1979</v>
      </c>
      <c r="N130" s="32" t="s">
        <v>1979</v>
      </c>
      <c r="O130" s="37"/>
      <c r="P130" s="35"/>
      <c r="Q130" s="35"/>
    </row>
    <row r="131">
      <c r="A131" s="2">
        <v>4.0</v>
      </c>
      <c r="B131" s="2">
        <v>6.0</v>
      </c>
      <c r="C131" s="2" t="s">
        <v>1967</v>
      </c>
      <c r="D131" s="2" t="s">
        <v>47</v>
      </c>
      <c r="E131" s="2" t="s">
        <v>19</v>
      </c>
      <c r="F131" s="33" t="s">
        <v>982</v>
      </c>
      <c r="G131" s="33" t="s">
        <v>2148</v>
      </c>
      <c r="H131" s="33"/>
      <c r="I131" s="26" t="s">
        <v>19</v>
      </c>
      <c r="J131" s="26" t="s">
        <v>982</v>
      </c>
      <c r="K131" s="26" t="s">
        <v>983</v>
      </c>
      <c r="L131" s="26"/>
      <c r="M131" s="32" t="s">
        <v>1979</v>
      </c>
      <c r="N131" s="32" t="s">
        <v>1979</v>
      </c>
      <c r="O131" s="37"/>
      <c r="P131" s="35"/>
      <c r="Q131" s="35"/>
    </row>
    <row r="132">
      <c r="A132" s="2">
        <v>4.0</v>
      </c>
      <c r="B132" s="2">
        <v>6.0</v>
      </c>
      <c r="C132" s="2" t="s">
        <v>1967</v>
      </c>
      <c r="D132" s="2" t="s">
        <v>47</v>
      </c>
      <c r="E132" s="2" t="s">
        <v>19</v>
      </c>
      <c r="F132" s="33" t="s">
        <v>2149</v>
      </c>
      <c r="G132" s="33" t="s">
        <v>2150</v>
      </c>
      <c r="H132" s="33"/>
      <c r="I132" s="26" t="s">
        <v>19</v>
      </c>
      <c r="J132" s="26" t="s">
        <v>984</v>
      </c>
      <c r="K132" s="26" t="s">
        <v>2151</v>
      </c>
      <c r="L132" s="26"/>
      <c r="M132" s="32"/>
      <c r="N132" s="32"/>
      <c r="O132" s="37"/>
      <c r="P132" s="35"/>
      <c r="Q132" s="35"/>
    </row>
    <row r="133">
      <c r="A133" s="2">
        <v>4.0</v>
      </c>
      <c r="B133" s="2">
        <v>6.0</v>
      </c>
      <c r="C133" s="2" t="s">
        <v>1967</v>
      </c>
      <c r="D133" s="2" t="s">
        <v>47</v>
      </c>
      <c r="E133" s="2" t="s">
        <v>19</v>
      </c>
      <c r="F133" s="33" t="s">
        <v>231</v>
      </c>
      <c r="G133" s="33" t="s">
        <v>2152</v>
      </c>
      <c r="H133" s="33"/>
      <c r="I133" s="26" t="s">
        <v>19</v>
      </c>
      <c r="J133" s="26" t="s">
        <v>231</v>
      </c>
      <c r="K133" s="26" t="s">
        <v>232</v>
      </c>
      <c r="L133" s="26"/>
      <c r="M133" s="32" t="s">
        <v>1979</v>
      </c>
      <c r="N133" s="32" t="s">
        <v>1979</v>
      </c>
      <c r="O133" s="37"/>
      <c r="P133" s="35"/>
      <c r="Q133" s="35"/>
    </row>
    <row r="134">
      <c r="A134" s="2">
        <v>4.0</v>
      </c>
      <c r="B134" s="2">
        <v>6.0</v>
      </c>
      <c r="C134" s="2" t="s">
        <v>1967</v>
      </c>
      <c r="D134" s="2" t="s">
        <v>47</v>
      </c>
      <c r="E134" s="2" t="s">
        <v>19</v>
      </c>
      <c r="F134" s="33" t="s">
        <v>233</v>
      </c>
      <c r="G134" s="33" t="s">
        <v>2153</v>
      </c>
      <c r="H134" s="33"/>
      <c r="I134" s="26" t="s">
        <v>19</v>
      </c>
      <c r="J134" s="26" t="s">
        <v>233</v>
      </c>
      <c r="K134" s="26" t="s">
        <v>234</v>
      </c>
      <c r="L134" s="26"/>
      <c r="M134" s="32" t="s">
        <v>1979</v>
      </c>
      <c r="N134" s="32" t="s">
        <v>1979</v>
      </c>
      <c r="O134" s="37"/>
      <c r="P134" s="35"/>
      <c r="Q134" s="35"/>
    </row>
    <row r="135">
      <c r="A135" s="22">
        <v>4.0</v>
      </c>
      <c r="B135" s="22">
        <v>7.0</v>
      </c>
      <c r="C135" s="2" t="s">
        <v>1971</v>
      </c>
      <c r="D135" s="2" t="s">
        <v>40</v>
      </c>
      <c r="E135" s="2" t="s">
        <v>19</v>
      </c>
      <c r="F135" s="33" t="s">
        <v>2154</v>
      </c>
      <c r="G135" s="33" t="s">
        <v>2155</v>
      </c>
      <c r="H135" s="33"/>
      <c r="I135" s="26" t="s">
        <v>19</v>
      </c>
      <c r="J135" s="26" t="s">
        <v>1361</v>
      </c>
      <c r="K135" s="26" t="s">
        <v>2156</v>
      </c>
      <c r="L135" s="26"/>
      <c r="M135" s="32"/>
      <c r="N135" s="32"/>
      <c r="O135" s="37"/>
      <c r="P135" s="35"/>
      <c r="Q135" s="35"/>
    </row>
    <row r="136">
      <c r="A136" s="22">
        <v>4.0</v>
      </c>
      <c r="B136" s="22">
        <v>7.0</v>
      </c>
      <c r="C136" s="2" t="s">
        <v>1971</v>
      </c>
      <c r="D136" s="2" t="s">
        <v>40</v>
      </c>
      <c r="E136" s="2" t="s">
        <v>19</v>
      </c>
      <c r="F136" s="33" t="s">
        <v>1359</v>
      </c>
      <c r="G136" s="33" t="s">
        <v>2157</v>
      </c>
      <c r="H136" s="33"/>
      <c r="I136" s="26" t="s">
        <v>19</v>
      </c>
      <c r="J136" s="26" t="s">
        <v>1359</v>
      </c>
      <c r="K136" s="26" t="s">
        <v>2158</v>
      </c>
      <c r="L136" s="26"/>
      <c r="M136" s="32"/>
      <c r="N136" s="32"/>
      <c r="O136" s="37"/>
      <c r="P136" s="35"/>
      <c r="Q136" s="35"/>
    </row>
    <row r="137">
      <c r="A137" s="22">
        <v>4.0</v>
      </c>
      <c r="B137" s="22">
        <v>7.0</v>
      </c>
      <c r="C137" s="2" t="s">
        <v>1971</v>
      </c>
      <c r="D137" s="2" t="s">
        <v>40</v>
      </c>
      <c r="E137" s="2" t="s">
        <v>19</v>
      </c>
      <c r="F137" s="33" t="s">
        <v>1357</v>
      </c>
      <c r="G137" s="33" t="s">
        <v>2159</v>
      </c>
      <c r="H137" s="33"/>
      <c r="I137" s="26" t="s">
        <v>19</v>
      </c>
      <c r="J137" s="26" t="s">
        <v>1357</v>
      </c>
      <c r="K137" s="26" t="s">
        <v>1358</v>
      </c>
      <c r="L137" s="26"/>
      <c r="M137" s="32" t="s">
        <v>1979</v>
      </c>
      <c r="N137" s="32" t="s">
        <v>1979</v>
      </c>
      <c r="O137" s="37"/>
      <c r="P137" s="35"/>
      <c r="Q137" s="35"/>
    </row>
    <row r="138">
      <c r="A138" s="22">
        <v>4.0</v>
      </c>
      <c r="B138" s="22">
        <v>7.0</v>
      </c>
      <c r="C138" s="2" t="s">
        <v>1971</v>
      </c>
      <c r="D138" s="2" t="s">
        <v>40</v>
      </c>
      <c r="E138" s="2" t="s">
        <v>19</v>
      </c>
      <c r="F138" s="33" t="s">
        <v>1363</v>
      </c>
      <c r="G138" s="33" t="s">
        <v>2160</v>
      </c>
      <c r="H138" s="33"/>
      <c r="I138" s="26" t="s">
        <v>19</v>
      </c>
      <c r="J138" s="26" t="s">
        <v>1363</v>
      </c>
      <c r="K138" s="26" t="s">
        <v>2161</v>
      </c>
      <c r="L138" s="26"/>
      <c r="M138" s="32" t="s">
        <v>1979</v>
      </c>
      <c r="N138" s="32" t="s">
        <v>1979</v>
      </c>
      <c r="O138" s="37"/>
      <c r="P138" s="35"/>
      <c r="Q138" s="35"/>
    </row>
    <row r="139">
      <c r="A139" s="22">
        <v>4.0</v>
      </c>
      <c r="B139" s="22">
        <v>7.0</v>
      </c>
      <c r="C139" s="2" t="s">
        <v>1971</v>
      </c>
      <c r="D139" s="2" t="s">
        <v>40</v>
      </c>
      <c r="E139" s="2" t="s">
        <v>19</v>
      </c>
      <c r="F139" s="33" t="s">
        <v>1367</v>
      </c>
      <c r="G139" s="33" t="s">
        <v>2162</v>
      </c>
      <c r="H139" s="33"/>
      <c r="I139" s="26" t="s">
        <v>19</v>
      </c>
      <c r="J139" s="26" t="s">
        <v>1367</v>
      </c>
      <c r="K139" s="26" t="s">
        <v>2163</v>
      </c>
      <c r="L139" s="26"/>
      <c r="M139" s="32" t="s">
        <v>1979</v>
      </c>
      <c r="N139" s="32" t="s">
        <v>1979</v>
      </c>
      <c r="O139" s="37"/>
      <c r="P139" s="35"/>
      <c r="Q139" s="35"/>
    </row>
    <row r="140">
      <c r="A140" s="2">
        <v>4.0</v>
      </c>
      <c r="B140" s="2">
        <v>8.0</v>
      </c>
      <c r="C140" s="2" t="s">
        <v>1973</v>
      </c>
      <c r="D140" s="2" t="s">
        <v>40</v>
      </c>
      <c r="E140" s="2" t="s">
        <v>19</v>
      </c>
      <c r="F140" s="33" t="s">
        <v>2164</v>
      </c>
      <c r="G140" s="33" t="s">
        <v>2165</v>
      </c>
      <c r="H140" s="33"/>
      <c r="I140" s="26" t="s">
        <v>19</v>
      </c>
      <c r="J140" s="26" t="s">
        <v>2164</v>
      </c>
      <c r="K140" s="26" t="s">
        <v>2166</v>
      </c>
      <c r="L140" s="26"/>
      <c r="M140" s="32"/>
      <c r="N140" s="32"/>
      <c r="O140" s="37"/>
      <c r="P140" s="35"/>
      <c r="Q140" s="35"/>
    </row>
    <row r="141">
      <c r="A141" s="2">
        <v>4.0</v>
      </c>
      <c r="B141" s="2">
        <v>8.0</v>
      </c>
      <c r="C141" s="2" t="s">
        <v>1973</v>
      </c>
      <c r="D141" s="2" t="s">
        <v>40</v>
      </c>
      <c r="E141" s="2" t="s">
        <v>19</v>
      </c>
      <c r="F141" s="33" t="s">
        <v>2167</v>
      </c>
      <c r="G141" s="33" t="s">
        <v>2168</v>
      </c>
      <c r="H141" s="33"/>
      <c r="I141" s="26" t="s">
        <v>19</v>
      </c>
      <c r="J141" s="26" t="s">
        <v>2167</v>
      </c>
      <c r="K141" s="26" t="s">
        <v>2169</v>
      </c>
      <c r="L141" s="26"/>
      <c r="M141" s="32" t="s">
        <v>1979</v>
      </c>
      <c r="N141" s="32" t="s">
        <v>1979</v>
      </c>
      <c r="O141" s="37"/>
      <c r="P141" s="35"/>
      <c r="Q141" s="35"/>
    </row>
    <row r="142">
      <c r="A142" s="2">
        <v>4.0</v>
      </c>
      <c r="B142" s="2">
        <v>9.0</v>
      </c>
      <c r="C142" s="2" t="s">
        <v>1973</v>
      </c>
      <c r="D142" s="2" t="s">
        <v>33</v>
      </c>
      <c r="E142" s="2" t="s">
        <v>19</v>
      </c>
      <c r="F142" s="33" t="s">
        <v>1373</v>
      </c>
      <c r="G142" s="33" t="s">
        <v>2170</v>
      </c>
      <c r="H142" s="33"/>
      <c r="I142" s="26" t="s">
        <v>19</v>
      </c>
      <c r="J142" s="26" t="s">
        <v>1373</v>
      </c>
      <c r="K142" s="26" t="s">
        <v>1374</v>
      </c>
      <c r="L142" s="26"/>
      <c r="M142" s="32" t="s">
        <v>1979</v>
      </c>
      <c r="N142" s="32" t="s">
        <v>1979</v>
      </c>
      <c r="O142" s="37"/>
      <c r="P142" s="35"/>
      <c r="Q142" s="35"/>
    </row>
    <row r="143">
      <c r="A143" s="2">
        <v>4.0</v>
      </c>
      <c r="B143" s="2">
        <v>9.0</v>
      </c>
      <c r="C143" s="2" t="s">
        <v>1973</v>
      </c>
      <c r="D143" s="2" t="s">
        <v>33</v>
      </c>
      <c r="E143" s="2" t="s">
        <v>19</v>
      </c>
      <c r="F143" s="33" t="s">
        <v>245</v>
      </c>
      <c r="G143" s="33" t="s">
        <v>2171</v>
      </c>
      <c r="H143" s="33"/>
      <c r="I143" s="26" t="s">
        <v>19</v>
      </c>
      <c r="J143" s="26" t="s">
        <v>1375</v>
      </c>
      <c r="K143" s="26" t="s">
        <v>2172</v>
      </c>
      <c r="L143" s="26"/>
      <c r="M143" s="32"/>
      <c r="N143" s="32"/>
      <c r="O143" s="37"/>
      <c r="P143" s="35"/>
      <c r="Q143" s="35"/>
    </row>
    <row r="144">
      <c r="A144" s="2">
        <v>4.0</v>
      </c>
      <c r="B144" s="2">
        <v>9.0</v>
      </c>
      <c r="C144" s="2" t="s">
        <v>1973</v>
      </c>
      <c r="D144" s="2" t="s">
        <v>33</v>
      </c>
      <c r="E144" s="2" t="s">
        <v>19</v>
      </c>
      <c r="F144" s="33" t="s">
        <v>247</v>
      </c>
      <c r="G144" s="33" t="s">
        <v>2173</v>
      </c>
      <c r="H144" s="33"/>
      <c r="I144" s="26" t="s">
        <v>19</v>
      </c>
      <c r="J144" s="26" t="s">
        <v>1377</v>
      </c>
      <c r="K144" s="26" t="s">
        <v>2174</v>
      </c>
      <c r="L144" s="26"/>
      <c r="M144" s="32"/>
      <c r="N144" s="32"/>
      <c r="O144" s="37"/>
      <c r="P144" s="35"/>
      <c r="Q144" s="35"/>
    </row>
    <row r="145">
      <c r="A145" s="2">
        <v>4.0</v>
      </c>
      <c r="B145" s="2">
        <v>9.0</v>
      </c>
      <c r="C145" s="2" t="s">
        <v>1973</v>
      </c>
      <c r="D145" s="2" t="s">
        <v>33</v>
      </c>
      <c r="E145" s="2" t="s">
        <v>19</v>
      </c>
      <c r="F145" s="33" t="s">
        <v>249</v>
      </c>
      <c r="G145" s="33" t="s">
        <v>2175</v>
      </c>
      <c r="H145" s="33"/>
      <c r="I145" s="26" t="s">
        <v>19</v>
      </c>
      <c r="J145" s="26" t="s">
        <v>249</v>
      </c>
      <c r="K145" s="26" t="s">
        <v>1379</v>
      </c>
      <c r="L145" s="26"/>
      <c r="M145" s="32" t="s">
        <v>1979</v>
      </c>
      <c r="N145" s="32"/>
      <c r="O145" s="37" t="s">
        <v>1980</v>
      </c>
      <c r="P145" s="35"/>
      <c r="Q145" s="35"/>
    </row>
    <row r="146">
      <c r="A146" s="2">
        <v>4.0</v>
      </c>
      <c r="B146" s="2">
        <v>10.0</v>
      </c>
      <c r="C146" s="2" t="s">
        <v>1973</v>
      </c>
      <c r="D146" s="2" t="s">
        <v>54</v>
      </c>
      <c r="E146" s="2" t="s">
        <v>19</v>
      </c>
      <c r="F146" s="33" t="s">
        <v>251</v>
      </c>
      <c r="G146" s="33" t="s">
        <v>2176</v>
      </c>
      <c r="H146" s="33"/>
      <c r="I146" s="26" t="s">
        <v>19</v>
      </c>
      <c r="J146" s="26" t="s">
        <v>1380</v>
      </c>
      <c r="K146" s="26" t="s">
        <v>2177</v>
      </c>
      <c r="L146" s="26"/>
      <c r="M146" s="32"/>
      <c r="N146" s="32"/>
      <c r="O146" s="37"/>
      <c r="P146" s="35"/>
      <c r="Q146" s="35"/>
    </row>
    <row r="147">
      <c r="A147" s="2">
        <v>4.0</v>
      </c>
      <c r="B147" s="2">
        <v>10.0</v>
      </c>
      <c r="C147" s="2" t="s">
        <v>1973</v>
      </c>
      <c r="D147" s="2" t="s">
        <v>54</v>
      </c>
      <c r="E147" s="2" t="s">
        <v>19</v>
      </c>
      <c r="F147" s="33" t="s">
        <v>253</v>
      </c>
      <c r="G147" s="33" t="s">
        <v>2178</v>
      </c>
      <c r="H147" s="33"/>
      <c r="I147" s="26" t="s">
        <v>19</v>
      </c>
      <c r="J147" s="26" t="s">
        <v>1382</v>
      </c>
      <c r="K147" s="26" t="s">
        <v>2179</v>
      </c>
      <c r="L147" s="26"/>
      <c r="M147" s="32"/>
      <c r="N147" s="32"/>
      <c r="O147" s="37"/>
      <c r="P147" s="35"/>
      <c r="Q147" s="35"/>
    </row>
    <row r="148">
      <c r="A148" s="2">
        <v>4.0</v>
      </c>
      <c r="B148" s="2">
        <v>10.0</v>
      </c>
      <c r="C148" s="2" t="s">
        <v>1973</v>
      </c>
      <c r="D148" s="2" t="s">
        <v>54</v>
      </c>
      <c r="E148" s="2" t="s">
        <v>19</v>
      </c>
      <c r="F148" s="33" t="s">
        <v>1384</v>
      </c>
      <c r="G148" s="33" t="s">
        <v>2180</v>
      </c>
      <c r="H148" s="33"/>
      <c r="I148" s="26" t="s">
        <v>19</v>
      </c>
      <c r="J148" s="26" t="s">
        <v>1384</v>
      </c>
      <c r="K148" s="26" t="s">
        <v>2181</v>
      </c>
      <c r="L148" s="26"/>
      <c r="M148" s="32"/>
      <c r="N148" s="32"/>
      <c r="O148" s="37"/>
      <c r="P148" s="35"/>
      <c r="Q148" s="35"/>
    </row>
    <row r="149">
      <c r="A149" s="2">
        <v>4.0</v>
      </c>
      <c r="B149" s="2">
        <v>10.0</v>
      </c>
      <c r="C149" s="2" t="s">
        <v>1973</v>
      </c>
      <c r="D149" s="2" t="s">
        <v>54</v>
      </c>
      <c r="E149" s="2" t="s">
        <v>19</v>
      </c>
      <c r="F149" s="33" t="s">
        <v>259</v>
      </c>
      <c r="G149" s="33" t="s">
        <v>2182</v>
      </c>
      <c r="H149" s="33"/>
      <c r="I149" s="26" t="s">
        <v>19</v>
      </c>
      <c r="J149" s="26" t="s">
        <v>259</v>
      </c>
      <c r="K149" s="26" t="s">
        <v>2183</v>
      </c>
      <c r="L149" s="26"/>
      <c r="M149" s="32" t="s">
        <v>1979</v>
      </c>
      <c r="N149" s="32" t="s">
        <v>1979</v>
      </c>
      <c r="O149" s="37"/>
      <c r="P149" s="35"/>
      <c r="Q149" s="35"/>
    </row>
    <row r="150">
      <c r="A150" s="2">
        <v>4.0</v>
      </c>
      <c r="B150" s="2">
        <v>10.0</v>
      </c>
      <c r="C150" s="2" t="s">
        <v>1973</v>
      </c>
      <c r="D150" s="2" t="s">
        <v>54</v>
      </c>
      <c r="E150" s="2" t="s">
        <v>19</v>
      </c>
      <c r="F150" s="33" t="s">
        <v>263</v>
      </c>
      <c r="G150" s="33" t="s">
        <v>2184</v>
      </c>
      <c r="H150" s="33"/>
      <c r="I150" s="26" t="s">
        <v>19</v>
      </c>
      <c r="J150" s="26" t="s">
        <v>263</v>
      </c>
      <c r="K150" s="26" t="s">
        <v>2185</v>
      </c>
      <c r="L150" s="26"/>
      <c r="M150" s="32" t="s">
        <v>1979</v>
      </c>
      <c r="N150" s="32" t="s">
        <v>1979</v>
      </c>
      <c r="O150" s="37"/>
      <c r="P150" s="35"/>
      <c r="Q150" s="35"/>
    </row>
    <row r="151">
      <c r="A151" s="2">
        <v>4.0</v>
      </c>
      <c r="B151" s="2">
        <v>10.0</v>
      </c>
      <c r="C151" s="2" t="s">
        <v>1973</v>
      </c>
      <c r="D151" s="2" t="s">
        <v>54</v>
      </c>
      <c r="E151" s="2" t="s">
        <v>19</v>
      </c>
      <c r="F151" s="33" t="s">
        <v>265</v>
      </c>
      <c r="G151" s="42" t="s">
        <v>2186</v>
      </c>
      <c r="H151" s="33"/>
      <c r="I151" s="26" t="s">
        <v>19</v>
      </c>
      <c r="J151" s="26" t="s">
        <v>265</v>
      </c>
      <c r="K151" s="26" t="s">
        <v>2187</v>
      </c>
      <c r="L151" s="26"/>
      <c r="M151" s="32" t="s">
        <v>1979</v>
      </c>
      <c r="N151" s="32" t="s">
        <v>1979</v>
      </c>
      <c r="O151" s="37"/>
      <c r="P151" s="35"/>
      <c r="Q151" s="35"/>
    </row>
    <row r="152">
      <c r="A152" s="2">
        <v>4.0</v>
      </c>
      <c r="B152" s="2">
        <v>10.0</v>
      </c>
      <c r="C152" s="2" t="s">
        <v>1973</v>
      </c>
      <c r="D152" s="2" t="s">
        <v>54</v>
      </c>
      <c r="E152" s="2" t="s">
        <v>19</v>
      </c>
      <c r="F152" s="33" t="s">
        <v>267</v>
      </c>
      <c r="G152" s="33" t="s">
        <v>2188</v>
      </c>
      <c r="H152" s="33"/>
      <c r="I152" s="26" t="s">
        <v>19</v>
      </c>
      <c r="J152" s="26" t="s">
        <v>267</v>
      </c>
      <c r="K152" s="26" t="s">
        <v>2189</v>
      </c>
      <c r="L152" s="26"/>
      <c r="M152" s="32" t="s">
        <v>1979</v>
      </c>
      <c r="N152" s="32" t="s">
        <v>1979</v>
      </c>
      <c r="O152" s="37"/>
      <c r="P152" s="35"/>
      <c r="Q152" s="35"/>
    </row>
    <row r="153">
      <c r="A153" s="2">
        <v>4.0</v>
      </c>
      <c r="B153" s="2">
        <v>10.0</v>
      </c>
      <c r="C153" s="2" t="s">
        <v>1973</v>
      </c>
      <c r="D153" s="2" t="s">
        <v>54</v>
      </c>
      <c r="E153" s="2" t="s">
        <v>19</v>
      </c>
      <c r="F153" s="33" t="s">
        <v>269</v>
      </c>
      <c r="G153" s="33" t="s">
        <v>2190</v>
      </c>
      <c r="H153" s="33"/>
      <c r="I153" s="26" t="s">
        <v>19</v>
      </c>
      <c r="J153" s="26" t="s">
        <v>1386</v>
      </c>
      <c r="K153" s="26" t="s">
        <v>2191</v>
      </c>
      <c r="L153" s="26"/>
      <c r="M153" s="32"/>
      <c r="N153" s="32"/>
      <c r="O153" s="37"/>
      <c r="P153" s="35"/>
      <c r="Q153" s="35"/>
    </row>
    <row r="154">
      <c r="A154" s="2">
        <v>4.0</v>
      </c>
      <c r="B154" s="2">
        <v>10.0</v>
      </c>
      <c r="C154" s="2" t="s">
        <v>1973</v>
      </c>
      <c r="D154" s="2" t="s">
        <v>54</v>
      </c>
      <c r="E154" s="2" t="s">
        <v>19</v>
      </c>
      <c r="F154" s="33" t="s">
        <v>271</v>
      </c>
      <c r="G154" s="33" t="s">
        <v>2192</v>
      </c>
      <c r="H154" s="33"/>
      <c r="I154" s="26" t="s">
        <v>19</v>
      </c>
      <c r="J154" s="26" t="s">
        <v>271</v>
      </c>
      <c r="K154" s="26" t="s">
        <v>2193</v>
      </c>
      <c r="L154" s="26"/>
      <c r="M154" s="32" t="s">
        <v>1979</v>
      </c>
      <c r="N154" s="32" t="s">
        <v>1979</v>
      </c>
      <c r="O154" s="37"/>
      <c r="P154" s="35"/>
      <c r="Q154" s="35"/>
    </row>
    <row r="155">
      <c r="A155" s="2">
        <v>4.0</v>
      </c>
      <c r="B155" s="2">
        <v>11.0</v>
      </c>
      <c r="C155" s="2" t="s">
        <v>1967</v>
      </c>
      <c r="D155" s="2" t="s">
        <v>72</v>
      </c>
      <c r="E155" s="2" t="s">
        <v>19</v>
      </c>
      <c r="F155" s="33" t="s">
        <v>2194</v>
      </c>
      <c r="G155" s="33" t="s">
        <v>2195</v>
      </c>
      <c r="H155" s="33"/>
      <c r="I155" s="26" t="s">
        <v>19</v>
      </c>
      <c r="J155" s="26" t="s">
        <v>2194</v>
      </c>
      <c r="K155" s="26" t="s">
        <v>2196</v>
      </c>
      <c r="L155" s="26"/>
      <c r="M155" s="32"/>
      <c r="N155" s="32"/>
      <c r="O155" s="37"/>
      <c r="P155" s="35"/>
      <c r="Q155" s="35"/>
    </row>
    <row r="156">
      <c r="A156" s="2">
        <v>4.0</v>
      </c>
      <c r="B156" s="2">
        <v>11.0</v>
      </c>
      <c r="C156" s="2" t="s">
        <v>1967</v>
      </c>
      <c r="D156" s="2" t="s">
        <v>72</v>
      </c>
      <c r="E156" s="2" t="s">
        <v>19</v>
      </c>
      <c r="F156" s="33" t="s">
        <v>279</v>
      </c>
      <c r="G156" s="33" t="s">
        <v>2197</v>
      </c>
      <c r="H156" s="33"/>
      <c r="I156" s="26" t="s">
        <v>19</v>
      </c>
      <c r="J156" s="26" t="s">
        <v>996</v>
      </c>
      <c r="K156" s="26" t="s">
        <v>2198</v>
      </c>
      <c r="L156" s="26"/>
      <c r="M156" s="32"/>
      <c r="N156" s="32"/>
      <c r="O156" s="37"/>
      <c r="P156" s="35"/>
      <c r="Q156" s="35"/>
    </row>
    <row r="157">
      <c r="A157" s="2">
        <v>4.0</v>
      </c>
      <c r="B157" s="2">
        <v>11.0</v>
      </c>
      <c r="C157" s="2" t="s">
        <v>1967</v>
      </c>
      <c r="D157" s="2" t="s">
        <v>72</v>
      </c>
      <c r="E157" s="2" t="s">
        <v>19</v>
      </c>
      <c r="F157" s="33" t="s">
        <v>281</v>
      </c>
      <c r="G157" s="33" t="s">
        <v>2199</v>
      </c>
      <c r="H157" s="33"/>
      <c r="I157" s="26" t="s">
        <v>19</v>
      </c>
      <c r="J157" s="26" t="s">
        <v>998</v>
      </c>
      <c r="K157" s="26" t="s">
        <v>2200</v>
      </c>
      <c r="L157" s="26"/>
      <c r="M157" s="32"/>
      <c r="N157" s="37"/>
      <c r="O157" s="37"/>
      <c r="P157" s="35"/>
      <c r="Q157" s="34"/>
    </row>
    <row r="158">
      <c r="A158" s="22">
        <v>4.0</v>
      </c>
      <c r="B158" s="22">
        <v>12.0</v>
      </c>
      <c r="C158" s="2" t="s">
        <v>1971</v>
      </c>
      <c r="D158" s="12" t="s">
        <v>176</v>
      </c>
      <c r="E158" s="2" t="s">
        <v>8</v>
      </c>
      <c r="F158" s="33" t="s">
        <v>1388</v>
      </c>
      <c r="G158" s="33" t="s">
        <v>2201</v>
      </c>
      <c r="H158" s="33"/>
      <c r="I158" s="26" t="s">
        <v>8</v>
      </c>
      <c r="J158" s="26" t="s">
        <v>1388</v>
      </c>
      <c r="K158" s="26" t="s">
        <v>2202</v>
      </c>
      <c r="L158" s="26"/>
      <c r="M158" s="32"/>
      <c r="N158" s="32"/>
      <c r="O158" s="37"/>
      <c r="P158" s="35"/>
      <c r="Q158" s="35"/>
    </row>
    <row r="159">
      <c r="A159" s="22">
        <v>4.0</v>
      </c>
      <c r="B159" s="22">
        <v>12.0</v>
      </c>
      <c r="C159" s="2" t="s">
        <v>1971</v>
      </c>
      <c r="D159" s="12" t="s">
        <v>176</v>
      </c>
      <c r="E159" s="2" t="s">
        <v>8</v>
      </c>
      <c r="F159" s="33" t="s">
        <v>1390</v>
      </c>
      <c r="G159" s="33" t="s">
        <v>2203</v>
      </c>
      <c r="H159" s="33"/>
      <c r="I159" s="26" t="s">
        <v>8</v>
      </c>
      <c r="J159" s="26" t="s">
        <v>1390</v>
      </c>
      <c r="K159" s="26" t="s">
        <v>1391</v>
      </c>
      <c r="L159" s="26"/>
      <c r="M159" s="32"/>
      <c r="N159" s="32"/>
      <c r="O159" s="37"/>
      <c r="P159" s="35"/>
      <c r="Q159" s="35"/>
    </row>
    <row r="160">
      <c r="A160" s="2">
        <v>5.0</v>
      </c>
      <c r="B160" s="2">
        <v>1.0</v>
      </c>
      <c r="C160" s="2" t="s">
        <v>1967</v>
      </c>
      <c r="D160" s="2" t="s">
        <v>7</v>
      </c>
      <c r="E160" s="2" t="s">
        <v>8</v>
      </c>
      <c r="F160" s="33" t="s">
        <v>283</v>
      </c>
      <c r="G160" s="33" t="s">
        <v>2204</v>
      </c>
      <c r="H160" s="33"/>
      <c r="I160" s="26" t="s">
        <v>8</v>
      </c>
      <c r="J160" s="26" t="s">
        <v>1004</v>
      </c>
      <c r="K160" s="26" t="s">
        <v>2205</v>
      </c>
      <c r="L160" s="26"/>
      <c r="M160" s="32"/>
      <c r="N160" s="32"/>
      <c r="O160" s="37"/>
      <c r="P160" s="35"/>
      <c r="Q160" s="35"/>
    </row>
    <row r="161">
      <c r="A161" s="2">
        <v>5.0</v>
      </c>
      <c r="B161" s="2">
        <v>1.0</v>
      </c>
      <c r="C161" s="2" t="s">
        <v>1967</v>
      </c>
      <c r="D161" s="2" t="s">
        <v>7</v>
      </c>
      <c r="E161" s="2" t="s">
        <v>19</v>
      </c>
      <c r="F161" s="33" t="s">
        <v>287</v>
      </c>
      <c r="G161" s="33" t="s">
        <v>2206</v>
      </c>
      <c r="H161" s="33"/>
      <c r="I161" s="26" t="s">
        <v>19</v>
      </c>
      <c r="J161" s="26" t="s">
        <v>287</v>
      </c>
      <c r="K161" s="26" t="s">
        <v>2207</v>
      </c>
      <c r="L161" s="26"/>
      <c r="M161" s="32" t="s">
        <v>1979</v>
      </c>
      <c r="N161" s="32" t="s">
        <v>1979</v>
      </c>
      <c r="O161" s="37"/>
      <c r="P161" s="35"/>
      <c r="Q161" s="35"/>
    </row>
    <row r="162">
      <c r="A162" s="22">
        <v>5.0</v>
      </c>
      <c r="B162" s="22">
        <v>2.0</v>
      </c>
      <c r="C162" s="2" t="s">
        <v>1971</v>
      </c>
      <c r="D162" s="2" t="s">
        <v>7</v>
      </c>
      <c r="E162" s="2" t="s">
        <v>19</v>
      </c>
      <c r="F162" s="33" t="s">
        <v>1006</v>
      </c>
      <c r="G162" s="33" t="s">
        <v>2208</v>
      </c>
      <c r="H162" s="33"/>
      <c r="I162" s="26" t="s">
        <v>19</v>
      </c>
      <c r="J162" s="26" t="s">
        <v>1392</v>
      </c>
      <c r="K162" s="26" t="s">
        <v>2209</v>
      </c>
      <c r="L162" s="26"/>
      <c r="M162" s="32"/>
      <c r="N162" s="32"/>
      <c r="O162" s="37"/>
      <c r="P162" s="35"/>
      <c r="Q162" s="35"/>
    </row>
    <row r="163">
      <c r="A163" s="22">
        <v>5.0</v>
      </c>
      <c r="B163" s="22">
        <v>2.0</v>
      </c>
      <c r="C163" s="2" t="s">
        <v>1971</v>
      </c>
      <c r="D163" s="2" t="s">
        <v>7</v>
      </c>
      <c r="E163" s="2" t="s">
        <v>8</v>
      </c>
      <c r="F163" s="33" t="s">
        <v>1394</v>
      </c>
      <c r="G163" s="33" t="s">
        <v>2210</v>
      </c>
      <c r="H163" s="33"/>
      <c r="I163" s="26" t="s">
        <v>8</v>
      </c>
      <c r="J163" s="26" t="s">
        <v>1394</v>
      </c>
      <c r="K163" s="26" t="s">
        <v>1395</v>
      </c>
      <c r="L163" s="26"/>
      <c r="M163" s="32" t="s">
        <v>1979</v>
      </c>
      <c r="N163" s="32" t="s">
        <v>1979</v>
      </c>
      <c r="O163" s="37"/>
      <c r="P163" s="35"/>
      <c r="Q163" s="35"/>
    </row>
    <row r="164">
      <c r="A164" s="22">
        <v>5.0</v>
      </c>
      <c r="B164" s="22">
        <v>2.0</v>
      </c>
      <c r="C164" s="2" t="s">
        <v>1971</v>
      </c>
      <c r="D164" s="2" t="s">
        <v>7</v>
      </c>
      <c r="E164" s="2" t="s">
        <v>19</v>
      </c>
      <c r="F164" s="33" t="s">
        <v>1396</v>
      </c>
      <c r="G164" s="33" t="s">
        <v>2211</v>
      </c>
      <c r="H164" s="33"/>
      <c r="I164" s="26" t="s">
        <v>19</v>
      </c>
      <c r="J164" s="26" t="s">
        <v>1396</v>
      </c>
      <c r="K164" s="26" t="s">
        <v>2212</v>
      </c>
      <c r="L164" s="26"/>
      <c r="M164" s="32" t="s">
        <v>1979</v>
      </c>
      <c r="N164" s="32" t="s">
        <v>1979</v>
      </c>
      <c r="O164" s="37"/>
      <c r="P164" s="35"/>
      <c r="Q164" s="35"/>
    </row>
    <row r="165">
      <c r="A165" s="22">
        <v>5.0</v>
      </c>
      <c r="B165" s="22">
        <v>2.0</v>
      </c>
      <c r="C165" s="2" t="s">
        <v>1971</v>
      </c>
      <c r="D165" s="2" t="s">
        <v>7</v>
      </c>
      <c r="E165" s="2" t="s">
        <v>8</v>
      </c>
      <c r="F165" s="33" t="s">
        <v>1398</v>
      </c>
      <c r="G165" s="33" t="s">
        <v>2213</v>
      </c>
      <c r="H165" s="33"/>
      <c r="I165" s="26" t="s">
        <v>8</v>
      </c>
      <c r="J165" s="26" t="s">
        <v>1398</v>
      </c>
      <c r="K165" s="26" t="s">
        <v>2214</v>
      </c>
      <c r="L165" s="26"/>
      <c r="M165" s="32" t="s">
        <v>1979</v>
      </c>
      <c r="N165" s="32" t="s">
        <v>1979</v>
      </c>
      <c r="O165" s="37"/>
      <c r="P165" s="35"/>
      <c r="Q165" s="35"/>
    </row>
    <row r="166">
      <c r="A166" s="22">
        <v>5.0</v>
      </c>
      <c r="B166" s="22">
        <v>2.0</v>
      </c>
      <c r="C166" s="2" t="s">
        <v>1971</v>
      </c>
      <c r="D166" s="2" t="s">
        <v>7</v>
      </c>
      <c r="E166" s="2" t="s">
        <v>19</v>
      </c>
      <c r="F166" s="33" t="s">
        <v>1008</v>
      </c>
      <c r="G166" s="33" t="s">
        <v>2215</v>
      </c>
      <c r="H166" s="33"/>
      <c r="I166" s="26" t="s">
        <v>19</v>
      </c>
      <c r="J166" s="26" t="s">
        <v>1008</v>
      </c>
      <c r="K166" s="26" t="s">
        <v>1009</v>
      </c>
      <c r="L166" s="26"/>
      <c r="M166" s="32" t="s">
        <v>1979</v>
      </c>
      <c r="N166" s="32" t="s">
        <v>1979</v>
      </c>
      <c r="O166" s="37"/>
      <c r="P166" s="35"/>
      <c r="Q166" s="35"/>
    </row>
    <row r="167">
      <c r="A167" s="2">
        <v>5.0</v>
      </c>
      <c r="B167" s="2">
        <v>3.0</v>
      </c>
      <c r="C167" s="2" t="s">
        <v>1973</v>
      </c>
      <c r="D167" s="2" t="s">
        <v>7</v>
      </c>
      <c r="E167" s="2" t="s">
        <v>8</v>
      </c>
      <c r="F167" s="33" t="s">
        <v>289</v>
      </c>
      <c r="G167" s="33" t="s">
        <v>2216</v>
      </c>
      <c r="H167" s="33"/>
      <c r="I167" s="26" t="s">
        <v>8</v>
      </c>
      <c r="J167" s="26" t="s">
        <v>289</v>
      </c>
      <c r="K167" s="26" t="s">
        <v>2217</v>
      </c>
      <c r="L167" s="26"/>
      <c r="M167" s="32"/>
      <c r="N167" s="32"/>
      <c r="O167" s="37"/>
      <c r="P167" s="35"/>
      <c r="Q167" s="35"/>
    </row>
    <row r="168">
      <c r="A168" s="2">
        <v>5.0</v>
      </c>
      <c r="B168" s="2">
        <v>3.0</v>
      </c>
      <c r="C168" s="2" t="s">
        <v>1973</v>
      </c>
      <c r="D168" s="2" t="s">
        <v>7</v>
      </c>
      <c r="E168" s="2" t="s">
        <v>8</v>
      </c>
      <c r="F168" s="33" t="s">
        <v>297</v>
      </c>
      <c r="G168" s="33" t="s">
        <v>2218</v>
      </c>
      <c r="H168" s="33"/>
      <c r="I168" s="26" t="s">
        <v>8</v>
      </c>
      <c r="J168" s="26" t="s">
        <v>297</v>
      </c>
      <c r="K168" s="26" t="s">
        <v>2219</v>
      </c>
      <c r="L168" s="26"/>
      <c r="M168" s="32" t="s">
        <v>1979</v>
      </c>
      <c r="N168" s="32" t="s">
        <v>1979</v>
      </c>
      <c r="O168" s="37"/>
      <c r="P168" s="35"/>
      <c r="Q168" s="35"/>
    </row>
    <row r="169">
      <c r="A169" s="2">
        <v>5.0</v>
      </c>
      <c r="B169" s="2">
        <v>3.0</v>
      </c>
      <c r="C169" s="2" t="s">
        <v>1973</v>
      </c>
      <c r="D169" s="2" t="s">
        <v>7</v>
      </c>
      <c r="E169" s="2" t="s">
        <v>19</v>
      </c>
      <c r="F169" s="33" t="s">
        <v>1404</v>
      </c>
      <c r="G169" s="33" t="s">
        <v>2220</v>
      </c>
      <c r="H169" s="33"/>
      <c r="I169" s="26" t="s">
        <v>19</v>
      </c>
      <c r="J169" s="26" t="s">
        <v>1404</v>
      </c>
      <c r="K169" s="26" t="s">
        <v>2221</v>
      </c>
      <c r="L169" s="26"/>
      <c r="M169" s="32"/>
      <c r="N169" s="32"/>
      <c r="O169" s="37"/>
      <c r="P169" s="35"/>
      <c r="Q169" s="35"/>
    </row>
    <row r="170">
      <c r="A170" s="8">
        <v>5.0</v>
      </c>
      <c r="B170" s="8">
        <v>4.0</v>
      </c>
      <c r="C170" s="8" t="s">
        <v>1973</v>
      </c>
      <c r="D170" s="8" t="s">
        <v>7</v>
      </c>
      <c r="E170" s="2" t="s">
        <v>19</v>
      </c>
      <c r="F170" s="33" t="s">
        <v>301</v>
      </c>
      <c r="G170" s="33" t="s">
        <v>2222</v>
      </c>
      <c r="H170" s="33"/>
      <c r="I170" s="26" t="s">
        <v>19</v>
      </c>
      <c r="J170" s="26" t="s">
        <v>1406</v>
      </c>
      <c r="K170" s="26" t="s">
        <v>1407</v>
      </c>
      <c r="L170" s="26"/>
      <c r="M170" s="32"/>
      <c r="N170" s="32"/>
      <c r="O170" s="32"/>
      <c r="P170" s="34"/>
      <c r="Q170" s="34"/>
    </row>
    <row r="171">
      <c r="A171" s="2">
        <v>5.0</v>
      </c>
      <c r="B171" s="2">
        <v>4.0</v>
      </c>
      <c r="C171" s="2" t="s">
        <v>1973</v>
      </c>
      <c r="D171" s="2" t="s">
        <v>7</v>
      </c>
      <c r="E171" s="2" t="s">
        <v>19</v>
      </c>
      <c r="F171" s="33" t="s">
        <v>303</v>
      </c>
      <c r="G171" s="33" t="s">
        <v>2223</v>
      </c>
      <c r="H171" s="33"/>
      <c r="I171" s="26" t="s">
        <v>19</v>
      </c>
      <c r="J171" s="26" t="s">
        <v>303</v>
      </c>
      <c r="K171" s="26" t="s">
        <v>2224</v>
      </c>
      <c r="L171" s="26"/>
      <c r="M171" s="32" t="s">
        <v>2106</v>
      </c>
      <c r="N171" s="32" t="s">
        <v>1979</v>
      </c>
      <c r="O171" s="37"/>
      <c r="P171" s="35"/>
      <c r="Q171" s="35"/>
    </row>
    <row r="172">
      <c r="A172" s="2">
        <v>5.0</v>
      </c>
      <c r="B172" s="2">
        <v>4.0</v>
      </c>
      <c r="C172" s="2" t="s">
        <v>1973</v>
      </c>
      <c r="D172" s="2" t="s">
        <v>7</v>
      </c>
      <c r="E172" s="2" t="s">
        <v>8</v>
      </c>
      <c r="F172" s="33" t="s">
        <v>305</v>
      </c>
      <c r="G172" s="33" t="s">
        <v>2225</v>
      </c>
      <c r="H172" s="33"/>
      <c r="I172" s="26" t="s">
        <v>8</v>
      </c>
      <c r="J172" s="26" t="s">
        <v>305</v>
      </c>
      <c r="K172" s="26" t="s">
        <v>2226</v>
      </c>
      <c r="L172" s="26"/>
      <c r="M172" s="32" t="s">
        <v>1979</v>
      </c>
      <c r="N172" s="32" t="s">
        <v>2106</v>
      </c>
      <c r="O172" s="37"/>
      <c r="P172" s="35"/>
      <c r="Q172" s="35"/>
    </row>
    <row r="173">
      <c r="A173" s="2">
        <v>5.0</v>
      </c>
      <c r="B173" s="2">
        <v>4.0</v>
      </c>
      <c r="C173" s="2" t="s">
        <v>1973</v>
      </c>
      <c r="D173" s="2" t="s">
        <v>7</v>
      </c>
      <c r="E173" s="2" t="s">
        <v>8</v>
      </c>
      <c r="F173" s="33" t="s">
        <v>307</v>
      </c>
      <c r="G173" s="33" t="s">
        <v>2227</v>
      </c>
      <c r="H173" s="33"/>
      <c r="I173" s="26" t="s">
        <v>8</v>
      </c>
      <c r="J173" s="26" t="s">
        <v>307</v>
      </c>
      <c r="K173" s="26" t="s">
        <v>2228</v>
      </c>
      <c r="L173" s="26"/>
      <c r="M173" s="32" t="s">
        <v>1979</v>
      </c>
      <c r="N173" s="32" t="s">
        <v>1979</v>
      </c>
      <c r="O173" s="37"/>
      <c r="P173" s="35"/>
      <c r="Q173" s="35"/>
    </row>
    <row r="174">
      <c r="A174" s="2">
        <v>5.0</v>
      </c>
      <c r="B174" s="2">
        <v>5.0</v>
      </c>
      <c r="C174" s="2" t="s">
        <v>1973</v>
      </c>
      <c r="D174" s="2" t="s">
        <v>7</v>
      </c>
      <c r="E174" s="2" t="s">
        <v>19</v>
      </c>
      <c r="F174" s="33" t="s">
        <v>309</v>
      </c>
      <c r="G174" s="33" t="s">
        <v>2229</v>
      </c>
      <c r="H174" s="33"/>
      <c r="I174" s="26" t="s">
        <v>19</v>
      </c>
      <c r="J174" s="26" t="s">
        <v>309</v>
      </c>
      <c r="K174" s="26" t="s">
        <v>2230</v>
      </c>
      <c r="L174" s="26"/>
      <c r="M174" s="32" t="s">
        <v>1979</v>
      </c>
      <c r="N174" s="32" t="s">
        <v>2106</v>
      </c>
      <c r="O174" s="37"/>
      <c r="P174" s="35"/>
      <c r="Q174" s="35"/>
    </row>
    <row r="175">
      <c r="A175" s="2">
        <v>5.0</v>
      </c>
      <c r="B175" s="2">
        <v>5.0</v>
      </c>
      <c r="C175" s="2" t="s">
        <v>1973</v>
      </c>
      <c r="D175" s="2" t="s">
        <v>7</v>
      </c>
      <c r="E175" s="2" t="s">
        <v>8</v>
      </c>
      <c r="F175" s="33" t="s">
        <v>1408</v>
      </c>
      <c r="G175" s="33" t="s">
        <v>2231</v>
      </c>
      <c r="H175" s="33"/>
      <c r="I175" s="26" t="s">
        <v>8</v>
      </c>
      <c r="J175" s="26" t="s">
        <v>1408</v>
      </c>
      <c r="K175" s="26" t="s">
        <v>1409</v>
      </c>
      <c r="L175" s="26"/>
      <c r="M175" s="32"/>
      <c r="N175" s="32"/>
      <c r="O175" s="37"/>
      <c r="P175" s="35"/>
      <c r="Q175" s="35"/>
    </row>
    <row r="176">
      <c r="A176" s="2">
        <v>5.0</v>
      </c>
      <c r="B176" s="2">
        <v>5.0</v>
      </c>
      <c r="C176" s="2" t="s">
        <v>1973</v>
      </c>
      <c r="D176" s="2" t="s">
        <v>7</v>
      </c>
      <c r="E176" s="2" t="s">
        <v>8</v>
      </c>
      <c r="F176" s="33" t="s">
        <v>313</v>
      </c>
      <c r="G176" s="33" t="s">
        <v>2232</v>
      </c>
      <c r="H176" s="33"/>
      <c r="I176" s="26" t="s">
        <v>8</v>
      </c>
      <c r="J176" s="26" t="s">
        <v>1410</v>
      </c>
      <c r="K176" s="26" t="s">
        <v>1411</v>
      </c>
      <c r="L176" s="26"/>
      <c r="M176" s="32"/>
      <c r="N176" s="32"/>
      <c r="O176" s="37"/>
      <c r="P176" s="35"/>
      <c r="Q176" s="35"/>
    </row>
    <row r="177">
      <c r="A177" s="2">
        <v>5.0</v>
      </c>
      <c r="B177" s="2">
        <v>6.0</v>
      </c>
      <c r="C177" s="2" t="s">
        <v>1967</v>
      </c>
      <c r="D177" s="2" t="s">
        <v>59</v>
      </c>
      <c r="E177" s="2" t="s">
        <v>8</v>
      </c>
      <c r="F177" s="33" t="s">
        <v>1010</v>
      </c>
      <c r="G177" s="33" t="s">
        <v>2233</v>
      </c>
      <c r="H177" s="33" t="s">
        <v>2234</v>
      </c>
      <c r="I177" s="26" t="s">
        <v>8</v>
      </c>
      <c r="J177" s="26" t="s">
        <v>1010</v>
      </c>
      <c r="K177" s="26" t="s">
        <v>2234</v>
      </c>
      <c r="L177" s="26"/>
      <c r="M177" s="32"/>
      <c r="N177" s="32"/>
      <c r="O177" s="37"/>
      <c r="P177" s="35"/>
      <c r="Q177" s="35"/>
    </row>
    <row r="178">
      <c r="A178" s="2">
        <v>5.0</v>
      </c>
      <c r="B178" s="2">
        <v>6.0</v>
      </c>
      <c r="C178" s="2" t="s">
        <v>1967</v>
      </c>
      <c r="D178" s="2" t="s">
        <v>59</v>
      </c>
      <c r="E178" s="2" t="s">
        <v>19</v>
      </c>
      <c r="F178" s="33" t="s">
        <v>317</v>
      </c>
      <c r="G178" s="33" t="s">
        <v>2235</v>
      </c>
      <c r="H178" s="33"/>
      <c r="I178" s="26" t="s">
        <v>19</v>
      </c>
      <c r="J178" s="26" t="s">
        <v>317</v>
      </c>
      <c r="K178" s="26" t="s">
        <v>2236</v>
      </c>
      <c r="L178" s="26"/>
      <c r="M178" s="32" t="s">
        <v>1979</v>
      </c>
      <c r="N178" s="32" t="s">
        <v>1979</v>
      </c>
      <c r="O178" s="37"/>
      <c r="P178" s="35"/>
      <c r="Q178" s="35"/>
    </row>
    <row r="179">
      <c r="A179" s="22">
        <v>5.0</v>
      </c>
      <c r="B179" s="22">
        <v>7.0</v>
      </c>
      <c r="C179" s="2" t="s">
        <v>1971</v>
      </c>
      <c r="D179" s="2" t="s">
        <v>59</v>
      </c>
      <c r="E179" s="2" t="s">
        <v>19</v>
      </c>
      <c r="F179" s="33" t="s">
        <v>1412</v>
      </c>
      <c r="G179" s="2" t="s">
        <v>2237</v>
      </c>
      <c r="H179" s="33"/>
      <c r="I179" s="26" t="s">
        <v>19</v>
      </c>
      <c r="J179" s="26" t="s">
        <v>1412</v>
      </c>
      <c r="K179" s="26" t="s">
        <v>2238</v>
      </c>
      <c r="L179" s="26"/>
      <c r="M179" s="32"/>
      <c r="N179" s="32"/>
      <c r="O179" s="37"/>
      <c r="P179" s="35"/>
      <c r="Q179" s="35"/>
    </row>
    <row r="180">
      <c r="A180" s="22">
        <v>5.0</v>
      </c>
      <c r="B180" s="22">
        <v>7.0</v>
      </c>
      <c r="C180" s="2" t="s">
        <v>1971</v>
      </c>
      <c r="D180" s="2" t="s">
        <v>59</v>
      </c>
      <c r="E180" s="2" t="s">
        <v>8</v>
      </c>
      <c r="F180" s="33" t="s">
        <v>1414</v>
      </c>
      <c r="G180" s="33" t="s">
        <v>2239</v>
      </c>
      <c r="H180" s="33"/>
      <c r="I180" s="26" t="s">
        <v>8</v>
      </c>
      <c r="J180" s="26" t="s">
        <v>1414</v>
      </c>
      <c r="K180" s="26" t="s">
        <v>2240</v>
      </c>
      <c r="L180" s="26"/>
      <c r="M180" s="32" t="s">
        <v>1979</v>
      </c>
      <c r="N180" s="32" t="s">
        <v>1979</v>
      </c>
      <c r="O180" s="37"/>
      <c r="P180" s="35"/>
      <c r="Q180" s="35"/>
    </row>
    <row r="181">
      <c r="A181" s="2">
        <v>5.0</v>
      </c>
      <c r="B181" s="2">
        <v>9.0</v>
      </c>
      <c r="C181" s="2" t="s">
        <v>1973</v>
      </c>
      <c r="D181" s="2" t="s">
        <v>47</v>
      </c>
      <c r="E181" s="2" t="s">
        <v>8</v>
      </c>
      <c r="F181" s="33" t="s">
        <v>1418</v>
      </c>
      <c r="G181" s="33" t="s">
        <v>2241</v>
      </c>
      <c r="H181" s="33"/>
      <c r="I181" s="26" t="s">
        <v>8</v>
      </c>
      <c r="J181" s="26" t="s">
        <v>1418</v>
      </c>
      <c r="K181" s="26" t="s">
        <v>2242</v>
      </c>
      <c r="L181" s="26"/>
      <c r="M181" s="32"/>
      <c r="N181" s="32"/>
      <c r="O181" s="37"/>
      <c r="P181" s="35"/>
      <c r="Q181" s="35"/>
    </row>
    <row r="182">
      <c r="A182" s="2">
        <v>5.0</v>
      </c>
      <c r="B182" s="2">
        <v>9.0</v>
      </c>
      <c r="C182" s="2" t="s">
        <v>1973</v>
      </c>
      <c r="D182" s="2" t="s">
        <v>47</v>
      </c>
      <c r="E182" s="2" t="s">
        <v>19</v>
      </c>
      <c r="F182" s="33" t="s">
        <v>323</v>
      </c>
      <c r="G182" s="33" t="s">
        <v>2243</v>
      </c>
      <c r="H182" s="33"/>
      <c r="I182" s="26" t="s">
        <v>19</v>
      </c>
      <c r="J182" s="26" t="s">
        <v>323</v>
      </c>
      <c r="K182" s="26" t="s">
        <v>2244</v>
      </c>
      <c r="L182" s="26"/>
      <c r="M182" s="32"/>
      <c r="N182" s="32"/>
      <c r="O182" s="37"/>
      <c r="P182" s="35"/>
      <c r="Q182" s="35"/>
    </row>
    <row r="183">
      <c r="A183" s="2">
        <v>5.0</v>
      </c>
      <c r="B183" s="2">
        <v>9.0</v>
      </c>
      <c r="C183" s="2" t="s">
        <v>1973</v>
      </c>
      <c r="D183" s="2" t="s">
        <v>47</v>
      </c>
      <c r="E183" s="2" t="s">
        <v>19</v>
      </c>
      <c r="F183" s="33" t="s">
        <v>325</v>
      </c>
      <c r="G183" s="33" t="s">
        <v>2245</v>
      </c>
      <c r="H183" s="33"/>
      <c r="I183" s="26" t="s">
        <v>19</v>
      </c>
      <c r="J183" s="26" t="s">
        <v>1420</v>
      </c>
      <c r="K183" s="26" t="s">
        <v>2246</v>
      </c>
      <c r="L183" s="26"/>
      <c r="M183" s="32" t="s">
        <v>1979</v>
      </c>
      <c r="N183" s="32" t="s">
        <v>2106</v>
      </c>
      <c r="O183" s="32"/>
      <c r="P183" s="34"/>
      <c r="Q183" s="34"/>
    </row>
    <row r="184">
      <c r="A184" s="2">
        <v>5.0</v>
      </c>
      <c r="B184" s="2">
        <v>10.0</v>
      </c>
      <c r="C184" s="2" t="s">
        <v>1973</v>
      </c>
      <c r="D184" s="2" t="s">
        <v>47</v>
      </c>
      <c r="E184" s="2" t="s">
        <v>19</v>
      </c>
      <c r="F184" s="33" t="s">
        <v>327</v>
      </c>
      <c r="G184" s="33" t="s">
        <v>2247</v>
      </c>
      <c r="H184" s="33"/>
      <c r="I184" s="26" t="s">
        <v>19</v>
      </c>
      <c r="J184" s="26" t="s">
        <v>1422</v>
      </c>
      <c r="K184" s="26" t="s">
        <v>1423</v>
      </c>
      <c r="L184" s="26"/>
      <c r="M184" s="32"/>
      <c r="N184" s="32"/>
      <c r="O184" s="37"/>
      <c r="P184" s="35"/>
      <c r="Q184" s="35"/>
    </row>
    <row r="185">
      <c r="A185" s="2">
        <v>5.0</v>
      </c>
      <c r="B185" s="2">
        <v>11.0</v>
      </c>
      <c r="C185" s="2" t="s">
        <v>1967</v>
      </c>
      <c r="D185" s="2" t="s">
        <v>40</v>
      </c>
      <c r="E185" s="2" t="s">
        <v>8</v>
      </c>
      <c r="F185" s="33" t="s">
        <v>329</v>
      </c>
      <c r="G185" s="33" t="s">
        <v>2248</v>
      </c>
      <c r="H185" s="33"/>
      <c r="I185" s="26" t="s">
        <v>8</v>
      </c>
      <c r="J185" s="26" t="s">
        <v>1019</v>
      </c>
      <c r="K185" s="26" t="s">
        <v>1020</v>
      </c>
      <c r="L185" s="26"/>
      <c r="M185" s="32"/>
      <c r="N185" s="32"/>
      <c r="O185" s="37"/>
      <c r="P185" s="35"/>
      <c r="Q185" s="35"/>
    </row>
    <row r="186">
      <c r="A186" s="2">
        <v>5.0</v>
      </c>
      <c r="B186" s="2">
        <v>11.0</v>
      </c>
      <c r="C186" s="2" t="s">
        <v>1967</v>
      </c>
      <c r="D186" s="2" t="s">
        <v>40</v>
      </c>
      <c r="E186" s="2" t="s">
        <v>19</v>
      </c>
      <c r="F186" s="33" t="s">
        <v>331</v>
      </c>
      <c r="G186" s="33" t="s">
        <v>2249</v>
      </c>
      <c r="H186" s="33"/>
      <c r="I186" s="26" t="s">
        <v>19</v>
      </c>
      <c r="J186" s="26" t="s">
        <v>331</v>
      </c>
      <c r="K186" s="26" t="s">
        <v>2250</v>
      </c>
      <c r="L186" s="26"/>
      <c r="M186" s="32" t="s">
        <v>1979</v>
      </c>
      <c r="N186" s="32" t="s">
        <v>1979</v>
      </c>
      <c r="O186" s="37"/>
      <c r="P186" s="35"/>
      <c r="Q186" s="35"/>
    </row>
    <row r="187">
      <c r="A187" s="2">
        <v>5.0</v>
      </c>
      <c r="B187" s="2">
        <v>11.0</v>
      </c>
      <c r="C187" s="2" t="s">
        <v>1967</v>
      </c>
      <c r="D187" s="2" t="s">
        <v>40</v>
      </c>
      <c r="E187" s="2" t="s">
        <v>19</v>
      </c>
      <c r="F187" s="33" t="s">
        <v>333</v>
      </c>
      <c r="G187" s="33" t="s">
        <v>2251</v>
      </c>
      <c r="H187" s="33"/>
      <c r="I187" s="26" t="s">
        <v>19</v>
      </c>
      <c r="J187" s="26" t="s">
        <v>333</v>
      </c>
      <c r="K187" s="26" t="s">
        <v>2252</v>
      </c>
      <c r="L187" s="26"/>
      <c r="M187" s="32" t="s">
        <v>1979</v>
      </c>
      <c r="N187" s="32" t="s">
        <v>1979</v>
      </c>
      <c r="O187" s="37"/>
      <c r="P187" s="35"/>
      <c r="Q187" s="35"/>
    </row>
    <row r="188">
      <c r="A188" s="2">
        <v>5.0</v>
      </c>
      <c r="B188" s="2">
        <v>11.0</v>
      </c>
      <c r="C188" s="2" t="s">
        <v>1967</v>
      </c>
      <c r="D188" s="2" t="s">
        <v>40</v>
      </c>
      <c r="E188" s="2" t="s">
        <v>19</v>
      </c>
      <c r="F188" s="33" t="s">
        <v>2253</v>
      </c>
      <c r="G188" s="33" t="s">
        <v>2254</v>
      </c>
      <c r="H188" s="33"/>
      <c r="I188" s="26" t="s">
        <v>19</v>
      </c>
      <c r="J188" s="26" t="s">
        <v>2253</v>
      </c>
      <c r="K188" s="26" t="s">
        <v>2255</v>
      </c>
      <c r="L188" s="26"/>
      <c r="M188" s="32" t="s">
        <v>1979</v>
      </c>
      <c r="N188" s="32" t="s">
        <v>1979</v>
      </c>
      <c r="O188" s="37"/>
      <c r="P188" s="35"/>
      <c r="Q188" s="35"/>
    </row>
    <row r="189">
      <c r="A189" s="2">
        <v>5.0</v>
      </c>
      <c r="B189" s="2">
        <v>11.0</v>
      </c>
      <c r="C189" s="2" t="s">
        <v>1967</v>
      </c>
      <c r="D189" s="2" t="s">
        <v>40</v>
      </c>
      <c r="E189" s="2" t="s">
        <v>8</v>
      </c>
      <c r="F189" s="33" t="s">
        <v>341</v>
      </c>
      <c r="G189" s="33" t="s">
        <v>2256</v>
      </c>
      <c r="H189" s="33"/>
      <c r="I189" s="26" t="s">
        <v>8</v>
      </c>
      <c r="J189" s="26" t="s">
        <v>341</v>
      </c>
      <c r="K189" s="26" t="s">
        <v>2257</v>
      </c>
      <c r="L189" s="26"/>
      <c r="M189" s="32" t="s">
        <v>1979</v>
      </c>
      <c r="N189" s="32" t="s">
        <v>1979</v>
      </c>
      <c r="O189" s="37"/>
      <c r="P189" s="35"/>
      <c r="Q189" s="35"/>
    </row>
    <row r="190">
      <c r="A190" s="2">
        <v>5.0</v>
      </c>
      <c r="B190" s="2">
        <v>11.0</v>
      </c>
      <c r="C190" s="2" t="s">
        <v>1967</v>
      </c>
      <c r="D190" s="2" t="s">
        <v>40</v>
      </c>
      <c r="E190" s="2" t="s">
        <v>19</v>
      </c>
      <c r="F190" s="33" t="s">
        <v>343</v>
      </c>
      <c r="G190" s="33" t="s">
        <v>2258</v>
      </c>
      <c r="H190" s="33"/>
      <c r="I190" s="26" t="s">
        <v>19</v>
      </c>
      <c r="J190" s="26" t="s">
        <v>1023</v>
      </c>
      <c r="K190" s="26" t="s">
        <v>2259</v>
      </c>
      <c r="L190" s="26"/>
      <c r="M190" s="32"/>
      <c r="N190" s="32"/>
      <c r="O190" s="37"/>
      <c r="P190" s="35"/>
      <c r="Q190" s="35"/>
    </row>
    <row r="191">
      <c r="A191" s="2">
        <v>5.0</v>
      </c>
      <c r="B191" s="2">
        <v>11.0</v>
      </c>
      <c r="C191" s="2" t="s">
        <v>1967</v>
      </c>
      <c r="D191" s="2" t="s">
        <v>40</v>
      </c>
      <c r="E191" s="2" t="s">
        <v>19</v>
      </c>
      <c r="F191" s="33" t="s">
        <v>345</v>
      </c>
      <c r="G191" s="33" t="s">
        <v>2260</v>
      </c>
      <c r="H191" s="33"/>
      <c r="I191" s="26" t="s">
        <v>19</v>
      </c>
      <c r="J191" s="26" t="s">
        <v>345</v>
      </c>
      <c r="K191" s="26" t="s">
        <v>2261</v>
      </c>
      <c r="L191" s="26"/>
      <c r="M191" s="32" t="s">
        <v>1979</v>
      </c>
      <c r="N191" s="32" t="s">
        <v>1979</v>
      </c>
      <c r="O191" s="37"/>
      <c r="P191" s="35"/>
      <c r="Q191" s="35"/>
    </row>
    <row r="192">
      <c r="A192" s="22">
        <v>5.0</v>
      </c>
      <c r="B192" s="22">
        <v>12.0</v>
      </c>
      <c r="C192" s="2" t="s">
        <v>1971</v>
      </c>
      <c r="D192" s="2" t="s">
        <v>33</v>
      </c>
      <c r="E192" s="2" t="s">
        <v>19</v>
      </c>
      <c r="F192" s="33" t="s">
        <v>1025</v>
      </c>
      <c r="G192" s="33" t="s">
        <v>2262</v>
      </c>
      <c r="H192" s="33"/>
      <c r="I192" s="26" t="s">
        <v>19</v>
      </c>
      <c r="J192" s="26" t="s">
        <v>1424</v>
      </c>
      <c r="K192" s="26" t="s">
        <v>2263</v>
      </c>
      <c r="L192" s="26"/>
      <c r="M192" s="32"/>
      <c r="N192" s="32"/>
      <c r="O192" s="37"/>
      <c r="P192" s="35"/>
      <c r="Q192" s="35"/>
    </row>
    <row r="193">
      <c r="A193" s="22">
        <v>5.0</v>
      </c>
      <c r="B193" s="22">
        <v>12.0</v>
      </c>
      <c r="C193" s="2" t="s">
        <v>1971</v>
      </c>
      <c r="D193" s="2" t="s">
        <v>33</v>
      </c>
      <c r="E193" s="2" t="s">
        <v>19</v>
      </c>
      <c r="F193" s="33" t="s">
        <v>1027</v>
      </c>
      <c r="G193" s="33" t="s">
        <v>2264</v>
      </c>
      <c r="H193" s="33"/>
      <c r="I193" s="26" t="s">
        <v>19</v>
      </c>
      <c r="J193" s="26" t="s">
        <v>1426</v>
      </c>
      <c r="K193" s="26" t="s">
        <v>1427</v>
      </c>
      <c r="L193" s="26"/>
      <c r="M193" s="32"/>
      <c r="N193" s="32"/>
      <c r="O193" s="37"/>
      <c r="P193" s="35"/>
      <c r="Q193" s="35"/>
    </row>
    <row r="194">
      <c r="A194" s="2">
        <v>5.0</v>
      </c>
      <c r="B194" s="2">
        <v>13.0</v>
      </c>
      <c r="C194" s="2" t="s">
        <v>1973</v>
      </c>
      <c r="D194" s="2" t="s">
        <v>54</v>
      </c>
      <c r="E194" s="2" t="s">
        <v>8</v>
      </c>
      <c r="F194" s="33" t="s">
        <v>347</v>
      </c>
      <c r="G194" s="33" t="s">
        <v>2265</v>
      </c>
      <c r="H194" s="33"/>
      <c r="I194" s="26" t="s">
        <v>8</v>
      </c>
      <c r="J194" s="26" t="s">
        <v>347</v>
      </c>
      <c r="K194" s="26" t="s">
        <v>2266</v>
      </c>
      <c r="L194" s="26"/>
      <c r="M194" s="32" t="s">
        <v>1979</v>
      </c>
      <c r="N194" s="32" t="s">
        <v>2106</v>
      </c>
      <c r="O194" s="37"/>
      <c r="P194" s="35"/>
      <c r="Q194" s="35"/>
    </row>
    <row r="195">
      <c r="A195" s="2">
        <v>5.0</v>
      </c>
      <c r="B195" s="2">
        <v>13.0</v>
      </c>
      <c r="C195" s="2" t="s">
        <v>1973</v>
      </c>
      <c r="D195" s="2" t="s">
        <v>54</v>
      </c>
      <c r="E195" s="2" t="s">
        <v>19</v>
      </c>
      <c r="F195" s="33" t="s">
        <v>349</v>
      </c>
      <c r="G195" s="33" t="s">
        <v>2267</v>
      </c>
      <c r="H195" s="33"/>
      <c r="I195" s="26" t="s">
        <v>19</v>
      </c>
      <c r="J195" s="26" t="s">
        <v>349</v>
      </c>
      <c r="K195" s="26" t="s">
        <v>2268</v>
      </c>
      <c r="L195" s="26"/>
      <c r="M195" s="32" t="s">
        <v>1979</v>
      </c>
      <c r="N195" s="32" t="s">
        <v>1979</v>
      </c>
      <c r="O195" s="37"/>
      <c r="P195" s="35"/>
      <c r="Q195" s="35"/>
    </row>
    <row r="196">
      <c r="A196" s="2">
        <v>5.0</v>
      </c>
      <c r="B196" s="2">
        <v>13.0</v>
      </c>
      <c r="C196" s="2" t="s">
        <v>1973</v>
      </c>
      <c r="D196" s="2" t="s">
        <v>54</v>
      </c>
      <c r="E196" s="2" t="s">
        <v>8</v>
      </c>
      <c r="F196" s="33" t="s">
        <v>351</v>
      </c>
      <c r="G196" s="33" t="s">
        <v>2269</v>
      </c>
      <c r="H196" s="33"/>
      <c r="I196" s="26" t="s">
        <v>8</v>
      </c>
      <c r="J196" s="26" t="s">
        <v>1428</v>
      </c>
      <c r="K196" s="26" t="s">
        <v>2270</v>
      </c>
      <c r="L196" s="26"/>
      <c r="M196" s="32" t="s">
        <v>1979</v>
      </c>
      <c r="N196" s="32" t="s">
        <v>1979</v>
      </c>
      <c r="O196" s="37"/>
      <c r="P196" s="35"/>
      <c r="Q196" s="35"/>
    </row>
    <row r="197">
      <c r="A197" s="2">
        <v>5.0</v>
      </c>
      <c r="B197" s="2">
        <v>13.0</v>
      </c>
      <c r="C197" s="2" t="s">
        <v>1973</v>
      </c>
      <c r="D197" s="2" t="s">
        <v>54</v>
      </c>
      <c r="E197" s="2" t="s">
        <v>19</v>
      </c>
      <c r="F197" s="33" t="s">
        <v>353</v>
      </c>
      <c r="G197" s="33" t="s">
        <v>2271</v>
      </c>
      <c r="H197" s="33"/>
      <c r="I197" s="26" t="s">
        <v>19</v>
      </c>
      <c r="J197" s="26" t="s">
        <v>1430</v>
      </c>
      <c r="K197" s="26" t="s">
        <v>1431</v>
      </c>
      <c r="L197" s="26"/>
      <c r="M197" s="32"/>
      <c r="N197" s="32"/>
      <c r="O197" s="37"/>
      <c r="P197" s="35"/>
      <c r="Q197" s="35"/>
    </row>
    <row r="198">
      <c r="A198" s="2">
        <v>5.0</v>
      </c>
      <c r="B198" s="2">
        <v>14.0</v>
      </c>
      <c r="C198" s="2" t="s">
        <v>1973</v>
      </c>
      <c r="D198" s="2" t="s">
        <v>72</v>
      </c>
      <c r="E198" s="2" t="s">
        <v>8</v>
      </c>
      <c r="F198" s="33" t="s">
        <v>1432</v>
      </c>
      <c r="G198" s="33" t="s">
        <v>2272</v>
      </c>
      <c r="H198" s="33"/>
      <c r="I198" s="26" t="s">
        <v>8</v>
      </c>
      <c r="J198" s="26" t="s">
        <v>1432</v>
      </c>
      <c r="K198" s="26" t="s">
        <v>2273</v>
      </c>
      <c r="L198" s="26"/>
      <c r="M198" s="32" t="s">
        <v>1979</v>
      </c>
      <c r="N198" s="32" t="s">
        <v>1979</v>
      </c>
      <c r="O198" s="37"/>
      <c r="P198" s="35"/>
      <c r="Q198" s="35"/>
    </row>
    <row r="199">
      <c r="A199" s="2">
        <v>5.0</v>
      </c>
      <c r="B199" s="2">
        <v>14.0</v>
      </c>
      <c r="C199" s="2" t="s">
        <v>1973</v>
      </c>
      <c r="D199" s="2" t="s">
        <v>72</v>
      </c>
      <c r="E199" s="2" t="s">
        <v>8</v>
      </c>
      <c r="F199" s="33" t="s">
        <v>359</v>
      </c>
      <c r="G199" s="33" t="s">
        <v>2274</v>
      </c>
      <c r="H199" s="33"/>
      <c r="I199" s="26" t="s">
        <v>8</v>
      </c>
      <c r="J199" s="26" t="s">
        <v>359</v>
      </c>
      <c r="K199" s="26" t="s">
        <v>2275</v>
      </c>
      <c r="L199" s="26"/>
      <c r="M199" s="32" t="s">
        <v>1979</v>
      </c>
      <c r="N199" s="32" t="s">
        <v>1979</v>
      </c>
      <c r="O199" s="37"/>
      <c r="P199" s="35"/>
      <c r="Q199" s="35"/>
    </row>
    <row r="200">
      <c r="A200" s="2">
        <v>6.0</v>
      </c>
      <c r="B200" s="2">
        <v>1.0</v>
      </c>
      <c r="C200" s="2" t="s">
        <v>1967</v>
      </c>
      <c r="D200" s="2" t="s">
        <v>7</v>
      </c>
      <c r="E200" s="2" t="s">
        <v>8</v>
      </c>
      <c r="F200" s="33" t="s">
        <v>1029</v>
      </c>
      <c r="G200" s="33" t="s">
        <v>2276</v>
      </c>
      <c r="H200" s="33"/>
      <c r="I200" s="26" t="s">
        <v>8</v>
      </c>
      <c r="J200" s="26" t="s">
        <v>1029</v>
      </c>
      <c r="K200" s="26" t="s">
        <v>1030</v>
      </c>
      <c r="L200" s="26"/>
      <c r="M200" s="32"/>
      <c r="N200" s="32"/>
      <c r="O200" s="37"/>
      <c r="P200" s="35"/>
      <c r="Q200" s="35"/>
    </row>
    <row r="201">
      <c r="A201" s="2">
        <v>6.0</v>
      </c>
      <c r="B201" s="2">
        <v>1.0</v>
      </c>
      <c r="C201" s="2" t="s">
        <v>1967</v>
      </c>
      <c r="D201" s="2" t="s">
        <v>7</v>
      </c>
      <c r="E201" s="2" t="s">
        <v>8</v>
      </c>
      <c r="F201" s="33" t="s">
        <v>1031</v>
      </c>
      <c r="G201" s="33" t="s">
        <v>2277</v>
      </c>
      <c r="H201" s="33"/>
      <c r="I201" s="26" t="s">
        <v>8</v>
      </c>
      <c r="J201" s="26" t="s">
        <v>1031</v>
      </c>
      <c r="K201" s="26" t="s">
        <v>2278</v>
      </c>
      <c r="L201" s="26"/>
      <c r="M201" s="32" t="s">
        <v>1979</v>
      </c>
      <c r="N201" s="32" t="s">
        <v>1979</v>
      </c>
      <c r="O201" s="37"/>
      <c r="P201" s="35"/>
      <c r="Q201" s="35"/>
    </row>
    <row r="202">
      <c r="A202" s="22">
        <v>6.0</v>
      </c>
      <c r="B202" s="22">
        <v>2.0</v>
      </c>
      <c r="C202" s="2" t="s">
        <v>1971</v>
      </c>
      <c r="D202" s="12" t="s">
        <v>28</v>
      </c>
      <c r="E202" s="2" t="s">
        <v>8</v>
      </c>
      <c r="F202" s="33" t="s">
        <v>1033</v>
      </c>
      <c r="G202" s="33" t="s">
        <v>2279</v>
      </c>
      <c r="H202" s="33"/>
      <c r="I202" s="26" t="s">
        <v>8</v>
      </c>
      <c r="J202" s="26" t="s">
        <v>1434</v>
      </c>
      <c r="K202" s="26" t="s">
        <v>2280</v>
      </c>
      <c r="L202" s="26"/>
      <c r="M202" s="32"/>
      <c r="N202" s="32"/>
      <c r="O202" s="37"/>
      <c r="P202" s="35"/>
      <c r="Q202" s="35"/>
    </row>
    <row r="203">
      <c r="A203" s="22">
        <v>6.0</v>
      </c>
      <c r="B203" s="22">
        <v>2.0</v>
      </c>
      <c r="C203" s="2" t="s">
        <v>1971</v>
      </c>
      <c r="D203" s="12" t="s">
        <v>28</v>
      </c>
      <c r="E203" s="2" t="s">
        <v>8</v>
      </c>
      <c r="F203" s="33" t="s">
        <v>1035</v>
      </c>
      <c r="G203" s="33" t="s">
        <v>2281</v>
      </c>
      <c r="H203" s="33"/>
      <c r="I203" s="26" t="s">
        <v>8</v>
      </c>
      <c r="J203" s="26" t="s">
        <v>1035</v>
      </c>
      <c r="K203" s="26" t="s">
        <v>1036</v>
      </c>
      <c r="L203" s="26"/>
      <c r="M203" s="32" t="s">
        <v>1979</v>
      </c>
      <c r="N203" s="32" t="s">
        <v>1979</v>
      </c>
      <c r="O203" s="37"/>
      <c r="P203" s="35"/>
      <c r="Q203" s="35"/>
    </row>
    <row r="204">
      <c r="A204" s="22">
        <v>6.0</v>
      </c>
      <c r="B204" s="22">
        <v>2.0</v>
      </c>
      <c r="C204" s="2" t="s">
        <v>1971</v>
      </c>
      <c r="D204" s="12" t="s">
        <v>28</v>
      </c>
      <c r="E204" s="2" t="s">
        <v>8</v>
      </c>
      <c r="F204" s="33" t="s">
        <v>1438</v>
      </c>
      <c r="G204" s="33" t="s">
        <v>2282</v>
      </c>
      <c r="H204" s="33"/>
      <c r="I204" s="26" t="s">
        <v>8</v>
      </c>
      <c r="J204" s="26" t="s">
        <v>1438</v>
      </c>
      <c r="K204" s="26" t="s">
        <v>1439</v>
      </c>
      <c r="L204" s="26"/>
      <c r="M204" s="32" t="s">
        <v>1979</v>
      </c>
      <c r="N204" s="32" t="s">
        <v>1979</v>
      </c>
      <c r="O204" s="37"/>
      <c r="P204" s="35"/>
      <c r="Q204" s="35"/>
    </row>
    <row r="205">
      <c r="A205" s="2">
        <v>6.0</v>
      </c>
      <c r="B205" s="2">
        <v>3.0</v>
      </c>
      <c r="C205" s="2" t="s">
        <v>1973</v>
      </c>
      <c r="D205" s="12" t="s">
        <v>47</v>
      </c>
      <c r="E205" s="2" t="s">
        <v>19</v>
      </c>
      <c r="F205" s="33" t="s">
        <v>363</v>
      </c>
      <c r="G205" s="33" t="s">
        <v>2283</v>
      </c>
      <c r="H205" s="33"/>
      <c r="I205" s="26" t="s">
        <v>19</v>
      </c>
      <c r="J205" s="26" t="s">
        <v>363</v>
      </c>
      <c r="K205" s="26" t="s">
        <v>2284</v>
      </c>
      <c r="L205" s="26"/>
      <c r="M205" s="32" t="s">
        <v>1979</v>
      </c>
      <c r="N205" s="32" t="s">
        <v>1979</v>
      </c>
      <c r="O205" s="37"/>
      <c r="P205" s="35"/>
      <c r="Q205" s="35"/>
    </row>
    <row r="206">
      <c r="A206" s="2">
        <v>6.0</v>
      </c>
      <c r="B206" s="2">
        <v>3.0</v>
      </c>
      <c r="C206" s="2" t="s">
        <v>1973</v>
      </c>
      <c r="D206" s="12" t="s">
        <v>47</v>
      </c>
      <c r="E206" s="2" t="s">
        <v>8</v>
      </c>
      <c r="F206" s="33" t="s">
        <v>1440</v>
      </c>
      <c r="G206" s="33" t="s">
        <v>2285</v>
      </c>
      <c r="H206" s="33"/>
      <c r="I206" s="26" t="s">
        <v>8</v>
      </c>
      <c r="J206" s="26" t="s">
        <v>1440</v>
      </c>
      <c r="K206" s="26" t="s">
        <v>2286</v>
      </c>
      <c r="L206" s="26"/>
      <c r="M206" s="32"/>
      <c r="N206" s="32"/>
      <c r="O206" s="37"/>
      <c r="P206" s="35"/>
      <c r="Q206" s="35"/>
    </row>
    <row r="207">
      <c r="A207" s="2">
        <v>6.0</v>
      </c>
      <c r="B207" s="2">
        <v>3.0</v>
      </c>
      <c r="C207" s="2" t="s">
        <v>1973</v>
      </c>
      <c r="D207" s="12" t="s">
        <v>47</v>
      </c>
      <c r="E207" s="2" t="s">
        <v>19</v>
      </c>
      <c r="F207" s="33" t="s">
        <v>2287</v>
      </c>
      <c r="G207" s="33" t="s">
        <v>2288</v>
      </c>
      <c r="H207" s="33"/>
      <c r="I207" s="26" t="s">
        <v>19</v>
      </c>
      <c r="J207" s="26" t="s">
        <v>2287</v>
      </c>
      <c r="K207" s="26" t="s">
        <v>2289</v>
      </c>
      <c r="L207" s="26"/>
      <c r="M207" s="32"/>
      <c r="N207" s="32"/>
      <c r="O207" s="37"/>
      <c r="P207" s="35"/>
      <c r="Q207" s="35"/>
    </row>
    <row r="208">
      <c r="A208" s="2">
        <v>6.0</v>
      </c>
      <c r="B208" s="2">
        <v>3.0</v>
      </c>
      <c r="C208" s="2" t="s">
        <v>1973</v>
      </c>
      <c r="D208" s="12" t="s">
        <v>47</v>
      </c>
      <c r="E208" s="2" t="s">
        <v>19</v>
      </c>
      <c r="F208" s="33" t="s">
        <v>1444</v>
      </c>
      <c r="G208" s="33" t="s">
        <v>2290</v>
      </c>
      <c r="H208" s="33"/>
      <c r="I208" s="26" t="s">
        <v>19</v>
      </c>
      <c r="J208" s="26" t="s">
        <v>1444</v>
      </c>
      <c r="K208" s="26" t="s">
        <v>2291</v>
      </c>
      <c r="L208" s="26"/>
      <c r="M208" s="32"/>
      <c r="N208" s="32"/>
      <c r="O208" s="37"/>
      <c r="P208" s="35"/>
      <c r="Q208" s="35"/>
    </row>
    <row r="209">
      <c r="A209" s="2">
        <v>6.0</v>
      </c>
      <c r="B209" s="2">
        <v>3.0</v>
      </c>
      <c r="C209" s="2" t="s">
        <v>1973</v>
      </c>
      <c r="D209" s="12" t="s">
        <v>47</v>
      </c>
      <c r="E209" s="2" t="s">
        <v>8</v>
      </c>
      <c r="F209" s="33" t="s">
        <v>1446</v>
      </c>
      <c r="G209" s="33" t="s">
        <v>2292</v>
      </c>
      <c r="H209" s="33"/>
      <c r="I209" s="26" t="s">
        <v>19</v>
      </c>
      <c r="J209" s="26" t="s">
        <v>1446</v>
      </c>
      <c r="K209" s="26" t="s">
        <v>2293</v>
      </c>
      <c r="L209" s="26"/>
      <c r="M209" s="32"/>
      <c r="N209" s="32"/>
      <c r="O209" s="37"/>
      <c r="P209" s="35"/>
      <c r="Q209" s="35"/>
    </row>
    <row r="210">
      <c r="A210" s="2">
        <v>6.0</v>
      </c>
      <c r="B210" s="2">
        <v>4.0</v>
      </c>
      <c r="C210" s="2" t="s">
        <v>1973</v>
      </c>
      <c r="D210" s="12" t="s">
        <v>47</v>
      </c>
      <c r="E210" s="2" t="s">
        <v>19</v>
      </c>
      <c r="F210" s="33" t="s">
        <v>1448</v>
      </c>
      <c r="G210" s="33" t="s">
        <v>2294</v>
      </c>
      <c r="H210" s="33"/>
      <c r="I210" s="26" t="s">
        <v>19</v>
      </c>
      <c r="J210" s="26" t="s">
        <v>1448</v>
      </c>
      <c r="K210" s="26" t="s">
        <v>1449</v>
      </c>
      <c r="L210" s="26"/>
      <c r="M210" s="32"/>
      <c r="N210" s="32"/>
      <c r="O210" s="37"/>
      <c r="P210" s="35"/>
      <c r="Q210" s="35"/>
    </row>
    <row r="211">
      <c r="A211" s="2">
        <v>6.0</v>
      </c>
      <c r="B211" s="2">
        <v>5.0</v>
      </c>
      <c r="C211" s="2" t="s">
        <v>1973</v>
      </c>
      <c r="D211" s="12" t="s">
        <v>40</v>
      </c>
      <c r="E211" s="2" t="s">
        <v>8</v>
      </c>
      <c r="F211" s="33" t="s">
        <v>1450</v>
      </c>
      <c r="G211" s="33" t="s">
        <v>2295</v>
      </c>
      <c r="H211" s="33"/>
      <c r="I211" s="26" t="s">
        <v>8</v>
      </c>
      <c r="J211" s="26" t="s">
        <v>1450</v>
      </c>
      <c r="K211" s="26" t="s">
        <v>1451</v>
      </c>
      <c r="L211" s="26"/>
      <c r="M211" s="32" t="s">
        <v>1979</v>
      </c>
      <c r="N211" s="32" t="s">
        <v>1979</v>
      </c>
      <c r="O211" s="37"/>
      <c r="P211" s="35"/>
      <c r="Q211" s="35"/>
    </row>
    <row r="212">
      <c r="A212" s="2">
        <v>6.0</v>
      </c>
      <c r="B212" s="2">
        <v>5.0</v>
      </c>
      <c r="C212" s="2" t="s">
        <v>1973</v>
      </c>
      <c r="D212" s="12" t="s">
        <v>40</v>
      </c>
      <c r="E212" s="2" t="s">
        <v>19</v>
      </c>
      <c r="F212" s="33" t="s">
        <v>377</v>
      </c>
      <c r="G212" s="33" t="s">
        <v>2296</v>
      </c>
      <c r="H212" s="33"/>
      <c r="I212" s="26" t="s">
        <v>19</v>
      </c>
      <c r="J212" s="26" t="s">
        <v>1452</v>
      </c>
      <c r="K212" s="26" t="s">
        <v>2297</v>
      </c>
      <c r="L212" s="26"/>
      <c r="M212" s="32"/>
      <c r="N212" s="32"/>
      <c r="O212" s="37"/>
      <c r="P212" s="35"/>
      <c r="Q212" s="35"/>
    </row>
    <row r="213">
      <c r="A213" s="2">
        <v>6.0</v>
      </c>
      <c r="B213" s="2">
        <v>5.0</v>
      </c>
      <c r="C213" s="2" t="s">
        <v>1973</v>
      </c>
      <c r="D213" s="12" t="s">
        <v>40</v>
      </c>
      <c r="E213" s="2" t="s">
        <v>19</v>
      </c>
      <c r="F213" s="33" t="s">
        <v>1454</v>
      </c>
      <c r="G213" s="33" t="s">
        <v>2298</v>
      </c>
      <c r="H213" s="33"/>
      <c r="I213" s="26" t="s">
        <v>19</v>
      </c>
      <c r="J213" s="26" t="s">
        <v>1454</v>
      </c>
      <c r="K213" s="26" t="s">
        <v>2299</v>
      </c>
      <c r="L213" s="26"/>
      <c r="M213" s="32" t="s">
        <v>1979</v>
      </c>
      <c r="N213" s="32" t="s">
        <v>1979</v>
      </c>
      <c r="O213" s="37"/>
      <c r="P213" s="35"/>
      <c r="Q213" s="35"/>
    </row>
    <row r="214">
      <c r="A214" s="2">
        <v>6.0</v>
      </c>
      <c r="B214" s="2">
        <v>5.0</v>
      </c>
      <c r="C214" s="2" t="s">
        <v>1973</v>
      </c>
      <c r="D214" s="12" t="s">
        <v>40</v>
      </c>
      <c r="E214" s="2" t="s">
        <v>19</v>
      </c>
      <c r="F214" s="33" t="s">
        <v>383</v>
      </c>
      <c r="G214" s="33" t="s">
        <v>2300</v>
      </c>
      <c r="H214" s="33"/>
      <c r="I214" s="26" t="s">
        <v>19</v>
      </c>
      <c r="J214" s="26" t="s">
        <v>383</v>
      </c>
      <c r="K214" s="26" t="s">
        <v>2301</v>
      </c>
      <c r="L214" s="26"/>
      <c r="M214" s="32" t="s">
        <v>1979</v>
      </c>
      <c r="N214" s="32" t="s">
        <v>1979</v>
      </c>
      <c r="O214" s="37"/>
      <c r="P214" s="35"/>
      <c r="Q214" s="35"/>
    </row>
    <row r="215">
      <c r="A215" s="2">
        <v>6.0</v>
      </c>
      <c r="B215" s="2">
        <v>5.0</v>
      </c>
      <c r="C215" s="2" t="s">
        <v>1973</v>
      </c>
      <c r="D215" s="12" t="s">
        <v>40</v>
      </c>
      <c r="E215" s="2" t="s">
        <v>19</v>
      </c>
      <c r="F215" s="33" t="s">
        <v>1456</v>
      </c>
      <c r="G215" s="33" t="s">
        <v>2302</v>
      </c>
      <c r="H215" s="33"/>
      <c r="I215" s="26" t="s">
        <v>19</v>
      </c>
      <c r="J215" s="26" t="s">
        <v>1456</v>
      </c>
      <c r="K215" s="26" t="s">
        <v>2303</v>
      </c>
      <c r="L215" s="26"/>
      <c r="M215" s="32"/>
      <c r="N215" s="32"/>
      <c r="O215" s="37"/>
      <c r="P215" s="35"/>
      <c r="Q215" s="35"/>
    </row>
    <row r="216">
      <c r="A216" s="2">
        <v>6.0</v>
      </c>
      <c r="B216" s="2">
        <v>6.0</v>
      </c>
      <c r="C216" s="2" t="s">
        <v>1967</v>
      </c>
      <c r="D216" s="12" t="s">
        <v>33</v>
      </c>
      <c r="E216" s="2" t="s">
        <v>19</v>
      </c>
      <c r="F216" s="33" t="s">
        <v>387</v>
      </c>
      <c r="G216" s="33" t="s">
        <v>2304</v>
      </c>
      <c r="H216" s="33"/>
      <c r="I216" s="26" t="s">
        <v>19</v>
      </c>
      <c r="J216" s="26" t="s">
        <v>387</v>
      </c>
      <c r="K216" s="26" t="s">
        <v>2305</v>
      </c>
      <c r="L216" s="26"/>
      <c r="M216" s="32" t="s">
        <v>1979</v>
      </c>
      <c r="N216" s="32" t="s">
        <v>1979</v>
      </c>
      <c r="O216" s="37"/>
      <c r="P216" s="35"/>
      <c r="Q216" s="35"/>
    </row>
    <row r="217">
      <c r="A217" s="2">
        <v>6.0</v>
      </c>
      <c r="B217" s="2">
        <v>6.0</v>
      </c>
      <c r="C217" s="2" t="s">
        <v>1967</v>
      </c>
      <c r="D217" s="12" t="s">
        <v>33</v>
      </c>
      <c r="E217" s="2" t="s">
        <v>19</v>
      </c>
      <c r="F217" s="33" t="s">
        <v>391</v>
      </c>
      <c r="G217" s="33" t="s">
        <v>2306</v>
      </c>
      <c r="H217" s="33"/>
      <c r="I217" s="26" t="s">
        <v>19</v>
      </c>
      <c r="J217" s="26" t="s">
        <v>391</v>
      </c>
      <c r="K217" s="26" t="s">
        <v>2307</v>
      </c>
      <c r="L217" s="26"/>
      <c r="M217" s="32"/>
      <c r="N217" s="32"/>
      <c r="O217" s="37"/>
      <c r="P217" s="35"/>
      <c r="Q217" s="35"/>
    </row>
    <row r="218">
      <c r="A218" s="22">
        <v>6.0</v>
      </c>
      <c r="B218" s="22">
        <v>7.0</v>
      </c>
      <c r="C218" s="2" t="s">
        <v>1971</v>
      </c>
      <c r="D218" s="12" t="s">
        <v>54</v>
      </c>
      <c r="E218" s="2" t="s">
        <v>19</v>
      </c>
      <c r="F218" s="33" t="s">
        <v>1039</v>
      </c>
      <c r="G218" s="33" t="s">
        <v>2308</v>
      </c>
      <c r="H218" s="33"/>
      <c r="I218" s="26" t="s">
        <v>19</v>
      </c>
      <c r="J218" s="26" t="s">
        <v>1039</v>
      </c>
      <c r="K218" s="26" t="s">
        <v>2309</v>
      </c>
      <c r="L218" s="26"/>
      <c r="M218" s="32" t="s">
        <v>1979</v>
      </c>
      <c r="N218" s="32" t="s">
        <v>1979</v>
      </c>
      <c r="O218" s="37"/>
      <c r="P218" s="35"/>
      <c r="Q218" s="35"/>
    </row>
    <row r="219">
      <c r="A219" s="22">
        <v>6.0</v>
      </c>
      <c r="B219" s="22">
        <v>7.0</v>
      </c>
      <c r="C219" s="2" t="s">
        <v>1971</v>
      </c>
      <c r="D219" s="12" t="s">
        <v>54</v>
      </c>
      <c r="E219" s="2" t="s">
        <v>19</v>
      </c>
      <c r="F219" s="33" t="s">
        <v>1458</v>
      </c>
      <c r="G219" s="33" t="s">
        <v>2310</v>
      </c>
      <c r="H219" s="33"/>
      <c r="I219" s="26" t="s">
        <v>19</v>
      </c>
      <c r="J219" s="26" t="s">
        <v>1458</v>
      </c>
      <c r="K219" s="26" t="s">
        <v>1459</v>
      </c>
      <c r="L219" s="26"/>
      <c r="M219" s="32" t="s">
        <v>1979</v>
      </c>
      <c r="N219" s="32" t="s">
        <v>1979</v>
      </c>
      <c r="O219" s="37"/>
      <c r="P219" s="35"/>
      <c r="Q219" s="35"/>
    </row>
    <row r="220">
      <c r="A220" s="22">
        <v>6.0</v>
      </c>
      <c r="B220" s="22">
        <v>7.0</v>
      </c>
      <c r="C220" s="2" t="s">
        <v>1971</v>
      </c>
      <c r="D220" s="12" t="s">
        <v>54</v>
      </c>
      <c r="E220" s="2" t="s">
        <v>8</v>
      </c>
      <c r="F220" s="33" t="s">
        <v>1460</v>
      </c>
      <c r="G220" s="33" t="s">
        <v>2311</v>
      </c>
      <c r="H220" s="33"/>
      <c r="I220" s="26" t="s">
        <v>8</v>
      </c>
      <c r="J220" s="26" t="s">
        <v>1460</v>
      </c>
      <c r="K220" s="26" t="s">
        <v>2312</v>
      </c>
      <c r="L220" s="26"/>
      <c r="M220" s="32" t="s">
        <v>1979</v>
      </c>
      <c r="N220" s="32" t="s">
        <v>1979</v>
      </c>
      <c r="O220" s="37"/>
      <c r="P220" s="35"/>
      <c r="Q220" s="35"/>
    </row>
    <row r="221">
      <c r="A221" s="2">
        <v>6.0</v>
      </c>
      <c r="B221" s="2">
        <v>8.0</v>
      </c>
      <c r="C221" s="2" t="s">
        <v>1973</v>
      </c>
      <c r="D221" s="12" t="s">
        <v>72</v>
      </c>
      <c r="E221" s="2" t="s">
        <v>8</v>
      </c>
      <c r="F221" s="33" t="s">
        <v>395</v>
      </c>
      <c r="G221" s="33" t="s">
        <v>2313</v>
      </c>
      <c r="H221" s="33"/>
      <c r="I221" s="26" t="s">
        <v>8</v>
      </c>
      <c r="J221" s="26" t="s">
        <v>1462</v>
      </c>
      <c r="K221" s="26" t="s">
        <v>2314</v>
      </c>
      <c r="L221" s="26"/>
      <c r="M221" s="32"/>
      <c r="N221" s="32"/>
      <c r="O221" s="37"/>
      <c r="P221" s="35"/>
      <c r="Q221" s="35"/>
    </row>
    <row r="222">
      <c r="A222" s="2">
        <v>6.0</v>
      </c>
      <c r="B222" s="2">
        <v>8.0</v>
      </c>
      <c r="C222" s="2" t="s">
        <v>1973</v>
      </c>
      <c r="D222" s="12" t="s">
        <v>72</v>
      </c>
      <c r="E222" s="2" t="s">
        <v>8</v>
      </c>
      <c r="F222" s="33" t="s">
        <v>397</v>
      </c>
      <c r="G222" s="33" t="s">
        <v>2315</v>
      </c>
      <c r="H222" s="33"/>
      <c r="I222" s="26" t="s">
        <v>8</v>
      </c>
      <c r="J222" s="26" t="s">
        <v>397</v>
      </c>
      <c r="K222" s="26" t="s">
        <v>2316</v>
      </c>
      <c r="L222" s="26"/>
      <c r="M222" s="32" t="s">
        <v>1979</v>
      </c>
      <c r="N222" s="32" t="s">
        <v>1979</v>
      </c>
      <c r="O222" s="37"/>
      <c r="P222" s="35"/>
      <c r="Q222" s="35"/>
    </row>
    <row r="223">
      <c r="A223" s="2">
        <v>6.0</v>
      </c>
      <c r="B223" s="2">
        <v>8.0</v>
      </c>
      <c r="C223" s="2" t="s">
        <v>1973</v>
      </c>
      <c r="D223" s="12" t="s">
        <v>72</v>
      </c>
      <c r="E223" s="2" t="s">
        <v>19</v>
      </c>
      <c r="F223" s="33" t="s">
        <v>1468</v>
      </c>
      <c r="G223" s="33" t="s">
        <v>2317</v>
      </c>
      <c r="H223" s="33"/>
      <c r="I223" s="26" t="s">
        <v>19</v>
      </c>
      <c r="J223" s="26" t="s">
        <v>1468</v>
      </c>
      <c r="K223" s="26" t="s">
        <v>1469</v>
      </c>
      <c r="L223" s="26"/>
      <c r="M223" s="32" t="s">
        <v>1979</v>
      </c>
      <c r="N223" s="32" t="s">
        <v>1979</v>
      </c>
      <c r="O223" s="37"/>
      <c r="P223" s="35"/>
      <c r="Q223" s="35"/>
    </row>
    <row r="224">
      <c r="A224" s="2">
        <v>7.0</v>
      </c>
      <c r="B224" s="2">
        <v>1.0</v>
      </c>
      <c r="C224" s="2" t="s">
        <v>1967</v>
      </c>
      <c r="D224" s="2" t="s">
        <v>7</v>
      </c>
      <c r="E224" s="2" t="s">
        <v>8</v>
      </c>
      <c r="F224" s="33" t="s">
        <v>1047</v>
      </c>
      <c r="G224" s="33" t="s">
        <v>2318</v>
      </c>
      <c r="H224" s="33"/>
      <c r="I224" s="26" t="s">
        <v>8</v>
      </c>
      <c r="J224" s="26" t="s">
        <v>1047</v>
      </c>
      <c r="K224" s="26" t="s">
        <v>1048</v>
      </c>
      <c r="L224" s="26" t="s">
        <v>2319</v>
      </c>
      <c r="M224" s="32" t="s">
        <v>1979</v>
      </c>
      <c r="N224" s="32" t="s">
        <v>1979</v>
      </c>
      <c r="O224" s="37"/>
      <c r="P224" s="35"/>
      <c r="Q224" s="35"/>
    </row>
    <row r="225">
      <c r="A225" s="2">
        <v>7.0</v>
      </c>
      <c r="B225" s="2">
        <v>1.0</v>
      </c>
      <c r="C225" s="2" t="s">
        <v>1967</v>
      </c>
      <c r="D225" s="2" t="s">
        <v>7</v>
      </c>
      <c r="E225" s="2" t="s">
        <v>19</v>
      </c>
      <c r="F225" s="33" t="s">
        <v>401</v>
      </c>
      <c r="G225" s="33" t="s">
        <v>2320</v>
      </c>
      <c r="H225" s="33"/>
      <c r="I225" s="26" t="s">
        <v>19</v>
      </c>
      <c r="J225" s="26" t="s">
        <v>401</v>
      </c>
      <c r="K225" s="26" t="s">
        <v>2321</v>
      </c>
      <c r="L225" s="26"/>
      <c r="M225" s="32" t="s">
        <v>1979</v>
      </c>
      <c r="N225" s="32" t="s">
        <v>1979</v>
      </c>
      <c r="O225" s="37"/>
      <c r="P225" s="35"/>
      <c r="Q225" s="35"/>
    </row>
    <row r="226">
      <c r="A226" s="2">
        <v>7.0</v>
      </c>
      <c r="B226" s="2">
        <v>1.0</v>
      </c>
      <c r="C226" s="2" t="s">
        <v>1967</v>
      </c>
      <c r="D226" s="2" t="s">
        <v>7</v>
      </c>
      <c r="E226" s="2" t="s">
        <v>19</v>
      </c>
      <c r="F226" s="33" t="s">
        <v>1043</v>
      </c>
      <c r="G226" s="33" t="s">
        <v>2322</v>
      </c>
      <c r="H226" s="33"/>
      <c r="I226" s="26" t="s">
        <v>19</v>
      </c>
      <c r="J226" s="26" t="s">
        <v>1043</v>
      </c>
      <c r="K226" s="26" t="s">
        <v>2323</v>
      </c>
      <c r="L226" s="26"/>
      <c r="M226" s="32" t="s">
        <v>2106</v>
      </c>
      <c r="N226" s="32" t="s">
        <v>2106</v>
      </c>
      <c r="O226" s="37"/>
      <c r="P226" s="35"/>
      <c r="Q226" s="35"/>
    </row>
    <row r="227">
      <c r="A227" s="2">
        <v>7.0</v>
      </c>
      <c r="B227" s="2">
        <v>1.0</v>
      </c>
      <c r="C227" s="2" t="s">
        <v>1967</v>
      </c>
      <c r="D227" s="2" t="s">
        <v>7</v>
      </c>
      <c r="E227" s="2" t="s">
        <v>19</v>
      </c>
      <c r="F227" s="33" t="s">
        <v>405</v>
      </c>
      <c r="G227" s="33" t="s">
        <v>2324</v>
      </c>
      <c r="H227" s="33"/>
      <c r="I227" s="26" t="s">
        <v>19</v>
      </c>
      <c r="J227" s="26" t="s">
        <v>405</v>
      </c>
      <c r="K227" s="26" t="s">
        <v>2325</v>
      </c>
      <c r="L227" s="26"/>
      <c r="M227" s="32" t="s">
        <v>1979</v>
      </c>
      <c r="N227" s="32" t="s">
        <v>1979</v>
      </c>
      <c r="O227" s="37"/>
      <c r="P227" s="35"/>
      <c r="Q227" s="35"/>
    </row>
    <row r="228">
      <c r="A228" s="2">
        <v>7.0</v>
      </c>
      <c r="B228" s="2">
        <v>1.0</v>
      </c>
      <c r="C228" s="2" t="s">
        <v>1967</v>
      </c>
      <c r="D228" s="2" t="s">
        <v>7</v>
      </c>
      <c r="E228" s="2" t="s">
        <v>19</v>
      </c>
      <c r="F228" s="33" t="s">
        <v>2326</v>
      </c>
      <c r="G228" s="33" t="s">
        <v>2327</v>
      </c>
      <c r="H228" s="33"/>
      <c r="I228" s="26" t="s">
        <v>19</v>
      </c>
      <c r="J228" s="26" t="s">
        <v>2328</v>
      </c>
      <c r="K228" s="26" t="s">
        <v>2329</v>
      </c>
      <c r="L228" s="26"/>
      <c r="M228" s="32" t="s">
        <v>1979</v>
      </c>
      <c r="N228" s="32" t="s">
        <v>1979</v>
      </c>
      <c r="O228" s="37"/>
      <c r="P228" s="35"/>
      <c r="Q228" s="35"/>
    </row>
    <row r="229">
      <c r="A229" s="2">
        <v>7.0</v>
      </c>
      <c r="B229" s="2">
        <v>1.0</v>
      </c>
      <c r="C229" s="2" t="s">
        <v>1967</v>
      </c>
      <c r="D229" s="2" t="s">
        <v>7</v>
      </c>
      <c r="E229" s="2" t="s">
        <v>19</v>
      </c>
      <c r="F229" s="33" t="s">
        <v>411</v>
      </c>
      <c r="G229" s="33" t="s">
        <v>2330</v>
      </c>
      <c r="H229" s="33"/>
      <c r="I229" s="26" t="s">
        <v>19</v>
      </c>
      <c r="J229" s="26" t="s">
        <v>1045</v>
      </c>
      <c r="K229" s="26" t="s">
        <v>1046</v>
      </c>
      <c r="L229" s="26"/>
      <c r="M229" s="32"/>
      <c r="N229" s="32"/>
      <c r="O229" s="37"/>
      <c r="P229" s="35"/>
      <c r="Q229" s="35"/>
    </row>
    <row r="230">
      <c r="A230" s="2">
        <v>7.0</v>
      </c>
      <c r="B230" s="22">
        <v>2.0</v>
      </c>
      <c r="C230" s="2" t="s">
        <v>1971</v>
      </c>
      <c r="D230" s="12" t="s">
        <v>59</v>
      </c>
      <c r="E230" s="2" t="s">
        <v>8</v>
      </c>
      <c r="F230" s="33" t="s">
        <v>1470</v>
      </c>
      <c r="G230" s="33" t="s">
        <v>2331</v>
      </c>
      <c r="H230" s="33"/>
      <c r="I230" s="26" t="s">
        <v>8</v>
      </c>
      <c r="J230" s="26" t="s">
        <v>1470</v>
      </c>
      <c r="K230" s="26" t="s">
        <v>2332</v>
      </c>
      <c r="L230" s="26"/>
      <c r="M230" s="32" t="s">
        <v>1979</v>
      </c>
      <c r="N230" s="32" t="s">
        <v>1979</v>
      </c>
      <c r="O230" s="37"/>
      <c r="P230" s="35"/>
      <c r="Q230" s="35"/>
    </row>
    <row r="231">
      <c r="A231" s="2">
        <v>7.0</v>
      </c>
      <c r="B231" s="22">
        <v>2.0</v>
      </c>
      <c r="C231" s="2" t="s">
        <v>1971</v>
      </c>
      <c r="D231" s="12" t="s">
        <v>59</v>
      </c>
      <c r="E231" s="2" t="s">
        <v>8</v>
      </c>
      <c r="F231" s="33" t="s">
        <v>2333</v>
      </c>
      <c r="G231" s="33" t="s">
        <v>2334</v>
      </c>
      <c r="H231" s="33"/>
      <c r="I231" s="26" t="s">
        <v>8</v>
      </c>
      <c r="J231" s="26" t="s">
        <v>2333</v>
      </c>
      <c r="K231" s="26" t="s">
        <v>1050</v>
      </c>
      <c r="L231" s="26"/>
      <c r="M231" s="32" t="s">
        <v>1979</v>
      </c>
      <c r="N231" s="32" t="s">
        <v>1979</v>
      </c>
      <c r="O231" s="37"/>
      <c r="P231" s="35"/>
      <c r="Q231" s="35"/>
    </row>
    <row r="232">
      <c r="A232" s="2">
        <v>7.0</v>
      </c>
      <c r="B232" s="22">
        <v>2.0</v>
      </c>
      <c r="C232" s="2" t="s">
        <v>1971</v>
      </c>
      <c r="D232" s="12" t="s">
        <v>59</v>
      </c>
      <c r="E232" s="2" t="s">
        <v>19</v>
      </c>
      <c r="F232" s="33" t="s">
        <v>1472</v>
      </c>
      <c r="G232" s="33" t="s">
        <v>2335</v>
      </c>
      <c r="H232" s="33"/>
      <c r="I232" s="26" t="s">
        <v>19</v>
      </c>
      <c r="J232" s="26" t="s">
        <v>1472</v>
      </c>
      <c r="K232" s="26" t="s">
        <v>2336</v>
      </c>
      <c r="L232" s="26"/>
      <c r="M232" s="32" t="s">
        <v>1979</v>
      </c>
      <c r="N232" s="32" t="s">
        <v>1979</v>
      </c>
      <c r="O232" s="37"/>
      <c r="P232" s="35"/>
      <c r="Q232" s="35"/>
    </row>
    <row r="233">
      <c r="A233" s="2">
        <v>7.0</v>
      </c>
      <c r="B233" s="2">
        <v>3.0</v>
      </c>
      <c r="C233" s="2" t="s">
        <v>1973</v>
      </c>
      <c r="D233" s="12" t="s">
        <v>28</v>
      </c>
      <c r="E233" s="2" t="s">
        <v>19</v>
      </c>
      <c r="F233" s="33" t="s">
        <v>413</v>
      </c>
      <c r="G233" s="33" t="s">
        <v>2337</v>
      </c>
      <c r="H233" s="33"/>
      <c r="I233" s="26" t="s">
        <v>19</v>
      </c>
      <c r="J233" s="26" t="s">
        <v>1474</v>
      </c>
      <c r="K233" s="26" t="s">
        <v>2338</v>
      </c>
      <c r="L233" s="26"/>
      <c r="M233" s="32"/>
      <c r="N233" s="32"/>
      <c r="O233" s="37"/>
      <c r="P233" s="35"/>
      <c r="Q233" s="35"/>
    </row>
    <row r="234">
      <c r="A234" s="2">
        <v>7.0</v>
      </c>
      <c r="B234" s="2">
        <v>3.0</v>
      </c>
      <c r="C234" s="2" t="s">
        <v>1973</v>
      </c>
      <c r="D234" s="12" t="s">
        <v>28</v>
      </c>
      <c r="E234" s="2" t="s">
        <v>19</v>
      </c>
      <c r="F234" s="33" t="s">
        <v>1476</v>
      </c>
      <c r="G234" s="33" t="s">
        <v>2339</v>
      </c>
      <c r="H234" s="33"/>
      <c r="I234" s="26" t="s">
        <v>19</v>
      </c>
      <c r="J234" s="26" t="s">
        <v>1476</v>
      </c>
      <c r="K234" s="26" t="s">
        <v>2340</v>
      </c>
      <c r="L234" s="26"/>
      <c r="M234" s="32"/>
      <c r="N234" s="32"/>
      <c r="O234" s="37"/>
      <c r="P234" s="35"/>
      <c r="Q234" s="35"/>
    </row>
    <row r="235">
      <c r="A235" s="2">
        <v>7.0</v>
      </c>
      <c r="B235" s="2">
        <v>3.0</v>
      </c>
      <c r="C235" s="2" t="s">
        <v>1973</v>
      </c>
      <c r="D235" s="12" t="s">
        <v>28</v>
      </c>
      <c r="E235" s="2" t="s">
        <v>19</v>
      </c>
      <c r="F235" s="33" t="s">
        <v>419</v>
      </c>
      <c r="G235" s="33" t="s">
        <v>2341</v>
      </c>
      <c r="H235" s="33"/>
      <c r="I235" s="26" t="s">
        <v>19</v>
      </c>
      <c r="J235" s="26" t="s">
        <v>1480</v>
      </c>
      <c r="K235" s="26" t="s">
        <v>2342</v>
      </c>
      <c r="L235" s="26"/>
      <c r="M235" s="32"/>
      <c r="N235" s="32"/>
      <c r="O235" s="32"/>
      <c r="P235" s="34"/>
      <c r="Q235" s="34"/>
    </row>
    <row r="236">
      <c r="A236" s="2">
        <v>7.0</v>
      </c>
      <c r="B236" s="2">
        <v>3.0</v>
      </c>
      <c r="C236" s="2" t="s">
        <v>1973</v>
      </c>
      <c r="D236" s="12" t="s">
        <v>28</v>
      </c>
      <c r="E236" s="2" t="s">
        <v>19</v>
      </c>
      <c r="F236" s="33" t="s">
        <v>419</v>
      </c>
      <c r="G236" s="33" t="s">
        <v>2343</v>
      </c>
      <c r="H236" s="33"/>
      <c r="I236" s="26" t="s">
        <v>19</v>
      </c>
      <c r="J236" s="26" t="s">
        <v>1480</v>
      </c>
      <c r="K236" s="26" t="s">
        <v>2342</v>
      </c>
      <c r="L236" s="26"/>
      <c r="M236" s="32"/>
      <c r="N236" s="32"/>
      <c r="O236" s="32"/>
      <c r="P236" s="34"/>
      <c r="Q236" s="34"/>
    </row>
    <row r="237">
      <c r="A237" s="2">
        <v>7.0</v>
      </c>
      <c r="B237" s="2">
        <v>3.0</v>
      </c>
      <c r="C237" s="2" t="s">
        <v>1973</v>
      </c>
      <c r="D237" s="12" t="s">
        <v>28</v>
      </c>
      <c r="E237" s="2" t="s">
        <v>19</v>
      </c>
      <c r="F237" s="33" t="s">
        <v>1478</v>
      </c>
      <c r="G237" s="33" t="s">
        <v>2344</v>
      </c>
      <c r="H237" s="33"/>
      <c r="I237" s="26" t="s">
        <v>19</v>
      </c>
      <c r="J237" s="26" t="s">
        <v>1478</v>
      </c>
      <c r="K237" s="26" t="s">
        <v>2345</v>
      </c>
      <c r="L237" s="26"/>
      <c r="M237" s="32" t="s">
        <v>1979</v>
      </c>
      <c r="N237" s="32" t="s">
        <v>1979</v>
      </c>
      <c r="O237" s="37"/>
      <c r="P237" s="35"/>
      <c r="Q237" s="35"/>
    </row>
    <row r="238">
      <c r="A238" s="2">
        <v>7.0</v>
      </c>
      <c r="B238" s="2">
        <v>4.0</v>
      </c>
      <c r="C238" s="2" t="s">
        <v>1973</v>
      </c>
      <c r="D238" s="12" t="s">
        <v>47</v>
      </c>
      <c r="E238" s="2" t="s">
        <v>8</v>
      </c>
      <c r="F238" s="33" t="s">
        <v>1482</v>
      </c>
      <c r="G238" s="33" t="s">
        <v>2346</v>
      </c>
      <c r="H238" s="33"/>
      <c r="I238" s="26" t="s">
        <v>8</v>
      </c>
      <c r="J238" s="26" t="s">
        <v>1482</v>
      </c>
      <c r="K238" s="26" t="s">
        <v>1419</v>
      </c>
      <c r="L238" s="26"/>
      <c r="M238" s="32" t="s">
        <v>1979</v>
      </c>
      <c r="N238" s="32" t="s">
        <v>1979</v>
      </c>
      <c r="O238" s="37"/>
      <c r="P238" s="35"/>
      <c r="Q238" s="35"/>
    </row>
    <row r="239">
      <c r="A239" s="2">
        <v>7.0</v>
      </c>
      <c r="B239" s="2">
        <v>4.0</v>
      </c>
      <c r="C239" s="2" t="s">
        <v>1973</v>
      </c>
      <c r="D239" s="12" t="s">
        <v>47</v>
      </c>
      <c r="E239" s="2" t="s">
        <v>8</v>
      </c>
      <c r="F239" s="33" t="s">
        <v>1483</v>
      </c>
      <c r="G239" s="33" t="s">
        <v>2347</v>
      </c>
      <c r="H239" s="33"/>
      <c r="I239" s="26" t="s">
        <v>8</v>
      </c>
      <c r="J239" s="26" t="s">
        <v>1483</v>
      </c>
      <c r="K239" s="26" t="s">
        <v>1484</v>
      </c>
      <c r="L239" s="26"/>
      <c r="M239" s="32" t="s">
        <v>1979</v>
      </c>
      <c r="N239" s="32" t="s">
        <v>1979</v>
      </c>
      <c r="O239" s="37"/>
      <c r="P239" s="35"/>
      <c r="Q239" s="35"/>
    </row>
    <row r="240">
      <c r="A240" s="2">
        <v>7.0</v>
      </c>
      <c r="B240" s="2">
        <v>4.0</v>
      </c>
      <c r="C240" s="2" t="s">
        <v>1973</v>
      </c>
      <c r="D240" s="12" t="s">
        <v>47</v>
      </c>
      <c r="E240" s="2" t="s">
        <v>19</v>
      </c>
      <c r="F240" s="33" t="s">
        <v>1485</v>
      </c>
      <c r="G240" s="33" t="s">
        <v>2348</v>
      </c>
      <c r="H240" s="33"/>
      <c r="I240" s="26" t="s">
        <v>19</v>
      </c>
      <c r="J240" s="26" t="s">
        <v>1485</v>
      </c>
      <c r="K240" s="26" t="s">
        <v>1486</v>
      </c>
      <c r="L240" s="26"/>
      <c r="M240" s="32" t="s">
        <v>1979</v>
      </c>
      <c r="N240" s="32" t="s">
        <v>1979</v>
      </c>
      <c r="O240" s="37"/>
      <c r="P240" s="35"/>
      <c r="Q240" s="35"/>
    </row>
    <row r="241">
      <c r="A241" s="2">
        <v>7.0</v>
      </c>
      <c r="B241" s="2">
        <v>4.0</v>
      </c>
      <c r="C241" s="2" t="s">
        <v>1973</v>
      </c>
      <c r="D241" s="12" t="s">
        <v>47</v>
      </c>
      <c r="E241" s="2" t="s">
        <v>19</v>
      </c>
      <c r="F241" s="33" t="s">
        <v>421</v>
      </c>
      <c r="G241" s="33" t="s">
        <v>2349</v>
      </c>
      <c r="H241" s="33"/>
      <c r="I241" s="26" t="s">
        <v>19</v>
      </c>
      <c r="J241" s="26" t="s">
        <v>1487</v>
      </c>
      <c r="K241" s="26" t="s">
        <v>1488</v>
      </c>
      <c r="L241" s="26"/>
      <c r="M241" s="32"/>
      <c r="N241" s="32"/>
      <c r="O241" s="37"/>
      <c r="P241" s="35"/>
      <c r="Q241" s="35"/>
    </row>
    <row r="242">
      <c r="A242" s="2">
        <v>7.0</v>
      </c>
      <c r="B242" s="2">
        <v>5.0</v>
      </c>
      <c r="C242" s="2" t="s">
        <v>1973</v>
      </c>
      <c r="D242" s="12" t="s">
        <v>40</v>
      </c>
      <c r="E242" s="2" t="s">
        <v>19</v>
      </c>
      <c r="F242" s="33" t="s">
        <v>423</v>
      </c>
      <c r="G242" s="33" t="s">
        <v>2350</v>
      </c>
      <c r="H242" s="33"/>
      <c r="I242" s="26" t="s">
        <v>19</v>
      </c>
      <c r="J242" s="26" t="s">
        <v>423</v>
      </c>
      <c r="K242" s="26" t="s">
        <v>2351</v>
      </c>
      <c r="L242" s="26"/>
      <c r="M242" s="32"/>
      <c r="N242" s="32"/>
      <c r="O242" s="37"/>
      <c r="P242" s="35"/>
      <c r="Q242" s="35"/>
    </row>
    <row r="243">
      <c r="A243" s="2">
        <v>7.0</v>
      </c>
      <c r="B243" s="2">
        <v>5.0</v>
      </c>
      <c r="C243" s="2" t="s">
        <v>1973</v>
      </c>
      <c r="D243" s="12" t="s">
        <v>40</v>
      </c>
      <c r="E243" s="2" t="s">
        <v>19</v>
      </c>
      <c r="F243" s="33" t="s">
        <v>427</v>
      </c>
      <c r="G243" s="33" t="s">
        <v>2352</v>
      </c>
      <c r="H243" s="33"/>
      <c r="I243" s="26" t="s">
        <v>19</v>
      </c>
      <c r="J243" s="26" t="s">
        <v>427</v>
      </c>
      <c r="K243" s="26" t="s">
        <v>2353</v>
      </c>
      <c r="L243" s="26"/>
      <c r="M243" s="32" t="s">
        <v>1979</v>
      </c>
      <c r="N243" s="32" t="s">
        <v>1979</v>
      </c>
      <c r="O243" s="37"/>
      <c r="P243" s="35"/>
      <c r="Q243" s="35"/>
    </row>
    <row r="244">
      <c r="A244" s="2">
        <v>7.0</v>
      </c>
      <c r="B244" s="2">
        <v>5.0</v>
      </c>
      <c r="C244" s="2" t="s">
        <v>1973</v>
      </c>
      <c r="D244" s="12" t="s">
        <v>40</v>
      </c>
      <c r="E244" s="2" t="s">
        <v>8</v>
      </c>
      <c r="F244" s="33" t="s">
        <v>1491</v>
      </c>
      <c r="G244" s="33" t="s">
        <v>2354</v>
      </c>
      <c r="H244" s="33"/>
      <c r="I244" s="26" t="s">
        <v>19</v>
      </c>
      <c r="J244" s="26" t="s">
        <v>1491</v>
      </c>
      <c r="K244" s="26" t="s">
        <v>2355</v>
      </c>
      <c r="L244" s="26"/>
      <c r="M244" s="32"/>
      <c r="N244" s="32"/>
      <c r="O244" s="37"/>
      <c r="P244" s="35"/>
      <c r="Q244" s="35"/>
    </row>
    <row r="245">
      <c r="A245" s="2">
        <v>7.0</v>
      </c>
      <c r="B245" s="2">
        <v>6.0</v>
      </c>
      <c r="C245" s="2" t="s">
        <v>1967</v>
      </c>
      <c r="D245" s="12" t="s">
        <v>33</v>
      </c>
      <c r="E245" s="2" t="s">
        <v>19</v>
      </c>
      <c r="F245" s="33" t="s">
        <v>431</v>
      </c>
      <c r="G245" s="33" t="s">
        <v>2356</v>
      </c>
      <c r="H245" s="33"/>
      <c r="I245" s="26" t="s">
        <v>19</v>
      </c>
      <c r="J245" s="26" t="s">
        <v>1053</v>
      </c>
      <c r="K245" s="26" t="s">
        <v>1054</v>
      </c>
      <c r="L245" s="26"/>
      <c r="M245" s="32"/>
      <c r="N245" s="32"/>
      <c r="O245" s="37"/>
      <c r="P245" s="35"/>
      <c r="Q245" s="35"/>
    </row>
    <row r="246">
      <c r="A246" s="2">
        <v>7.0</v>
      </c>
      <c r="B246" s="2">
        <v>6.0</v>
      </c>
      <c r="C246" s="2" t="s">
        <v>1967</v>
      </c>
      <c r="D246" s="12" t="s">
        <v>33</v>
      </c>
      <c r="E246" s="2" t="s">
        <v>8</v>
      </c>
      <c r="F246" s="33" t="s">
        <v>433</v>
      </c>
      <c r="G246" s="33" t="s">
        <v>2357</v>
      </c>
      <c r="H246" s="33"/>
      <c r="I246" s="26" t="s">
        <v>8</v>
      </c>
      <c r="J246" s="26" t="s">
        <v>433</v>
      </c>
      <c r="K246" s="26" t="s">
        <v>2358</v>
      </c>
      <c r="L246" s="26"/>
      <c r="M246" s="32" t="s">
        <v>1979</v>
      </c>
      <c r="N246" s="32" t="s">
        <v>1979</v>
      </c>
      <c r="O246" s="37"/>
      <c r="P246" s="35"/>
      <c r="Q246" s="35"/>
    </row>
    <row r="247">
      <c r="A247" s="2">
        <v>7.0</v>
      </c>
      <c r="B247" s="2">
        <v>6.0</v>
      </c>
      <c r="C247" s="2" t="s">
        <v>1967</v>
      </c>
      <c r="D247" s="12" t="s">
        <v>33</v>
      </c>
      <c r="E247" s="2" t="s">
        <v>19</v>
      </c>
      <c r="F247" s="33" t="s">
        <v>1057</v>
      </c>
      <c r="G247" s="33" t="s">
        <v>2359</v>
      </c>
      <c r="H247" s="33"/>
      <c r="I247" s="26" t="s">
        <v>19</v>
      </c>
      <c r="J247" s="26" t="s">
        <v>1057</v>
      </c>
      <c r="K247" s="26" t="s">
        <v>1058</v>
      </c>
      <c r="L247" s="26"/>
      <c r="M247" s="32" t="s">
        <v>1979</v>
      </c>
      <c r="N247" s="32" t="s">
        <v>1979</v>
      </c>
      <c r="O247" s="37"/>
      <c r="P247" s="35"/>
      <c r="Q247" s="35"/>
    </row>
    <row r="248">
      <c r="A248" s="2">
        <v>7.0</v>
      </c>
      <c r="B248" s="2">
        <v>6.0</v>
      </c>
      <c r="C248" s="2" t="s">
        <v>1967</v>
      </c>
      <c r="D248" s="12" t="s">
        <v>33</v>
      </c>
      <c r="E248" s="2" t="s">
        <v>19</v>
      </c>
      <c r="F248" s="33" t="s">
        <v>1059</v>
      </c>
      <c r="G248" s="33" t="s">
        <v>2360</v>
      </c>
      <c r="H248" s="33"/>
      <c r="I248" s="26" t="s">
        <v>19</v>
      </c>
      <c r="J248" s="26" t="s">
        <v>1059</v>
      </c>
      <c r="K248" s="26" t="s">
        <v>1060</v>
      </c>
      <c r="L248" s="26"/>
      <c r="M248" s="32" t="s">
        <v>1979</v>
      </c>
      <c r="N248" s="32" t="s">
        <v>1979</v>
      </c>
      <c r="O248" s="37"/>
      <c r="P248" s="35"/>
      <c r="Q248" s="35"/>
    </row>
    <row r="249">
      <c r="A249" s="2">
        <v>7.0</v>
      </c>
      <c r="B249" s="22">
        <v>7.0</v>
      </c>
      <c r="C249" s="2" t="s">
        <v>1971</v>
      </c>
      <c r="D249" s="12" t="s">
        <v>54</v>
      </c>
      <c r="E249" s="2" t="s">
        <v>8</v>
      </c>
      <c r="F249" s="33" t="s">
        <v>1061</v>
      </c>
      <c r="G249" s="33" t="s">
        <v>2361</v>
      </c>
      <c r="H249" s="33"/>
      <c r="I249" s="26" t="s">
        <v>8</v>
      </c>
      <c r="J249" s="26" t="s">
        <v>1061</v>
      </c>
      <c r="K249" s="26" t="s">
        <v>2362</v>
      </c>
      <c r="L249" s="26"/>
      <c r="M249" s="32" t="s">
        <v>1979</v>
      </c>
      <c r="N249" s="32" t="s">
        <v>1979</v>
      </c>
      <c r="O249" s="37"/>
      <c r="P249" s="35"/>
      <c r="Q249" s="35"/>
    </row>
    <row r="250">
      <c r="A250" s="2">
        <v>7.0</v>
      </c>
      <c r="B250" s="22">
        <v>7.0</v>
      </c>
      <c r="C250" s="2" t="s">
        <v>1971</v>
      </c>
      <c r="D250" s="12" t="s">
        <v>54</v>
      </c>
      <c r="E250" s="2" t="s">
        <v>19</v>
      </c>
      <c r="F250" s="33" t="s">
        <v>1493</v>
      </c>
      <c r="G250" s="33" t="s">
        <v>2363</v>
      </c>
      <c r="H250" s="33"/>
      <c r="I250" s="26" t="s">
        <v>19</v>
      </c>
      <c r="J250" s="26" t="s">
        <v>1493</v>
      </c>
      <c r="K250" s="26" t="s">
        <v>1494</v>
      </c>
      <c r="L250" s="26"/>
      <c r="M250" s="32" t="s">
        <v>1979</v>
      </c>
      <c r="N250" s="32" t="s">
        <v>1979</v>
      </c>
      <c r="O250" s="37"/>
      <c r="P250" s="35"/>
      <c r="Q250" s="35"/>
    </row>
    <row r="251">
      <c r="A251" s="2">
        <v>7.0</v>
      </c>
      <c r="B251" s="2">
        <v>8.0</v>
      </c>
      <c r="C251" s="2" t="s">
        <v>1973</v>
      </c>
      <c r="D251" s="12" t="s">
        <v>72</v>
      </c>
      <c r="E251" s="2" t="s">
        <v>19</v>
      </c>
      <c r="F251" s="33" t="s">
        <v>437</v>
      </c>
      <c r="G251" s="33" t="s">
        <v>2364</v>
      </c>
      <c r="H251" s="33"/>
      <c r="I251" s="26" t="s">
        <v>19</v>
      </c>
      <c r="J251" s="26" t="s">
        <v>437</v>
      </c>
      <c r="K251" s="26" t="s">
        <v>2365</v>
      </c>
      <c r="L251" s="26"/>
      <c r="M251" s="32" t="s">
        <v>1979</v>
      </c>
      <c r="N251" s="32" t="s">
        <v>1979</v>
      </c>
      <c r="O251" s="37"/>
      <c r="P251" s="35"/>
      <c r="Q251" s="35"/>
    </row>
    <row r="252">
      <c r="A252" s="2">
        <v>7.0</v>
      </c>
      <c r="B252" s="2">
        <v>8.0</v>
      </c>
      <c r="C252" s="2" t="s">
        <v>1973</v>
      </c>
      <c r="D252" s="12" t="s">
        <v>72</v>
      </c>
      <c r="E252" s="2" t="s">
        <v>8</v>
      </c>
      <c r="F252" s="33" t="s">
        <v>2366</v>
      </c>
      <c r="G252" s="33" t="s">
        <v>2367</v>
      </c>
      <c r="H252" s="33"/>
      <c r="I252" s="26" t="s">
        <v>8</v>
      </c>
      <c r="J252" s="26" t="s">
        <v>2366</v>
      </c>
      <c r="K252" s="26" t="s">
        <v>2368</v>
      </c>
      <c r="L252" s="26"/>
      <c r="M252" s="32" t="s">
        <v>1979</v>
      </c>
      <c r="N252" s="32" t="s">
        <v>1979</v>
      </c>
      <c r="O252" s="37"/>
      <c r="P252" s="35"/>
      <c r="Q252" s="35"/>
    </row>
    <row r="253">
      <c r="A253" s="2">
        <v>7.0</v>
      </c>
      <c r="B253" s="2">
        <v>8.0</v>
      </c>
      <c r="C253" s="2" t="s">
        <v>1973</v>
      </c>
      <c r="D253" s="12" t="s">
        <v>72</v>
      </c>
      <c r="E253" s="2" t="s">
        <v>19</v>
      </c>
      <c r="F253" s="33" t="s">
        <v>2369</v>
      </c>
      <c r="G253" s="33" t="s">
        <v>2370</v>
      </c>
      <c r="H253" s="33"/>
      <c r="I253" s="26" t="s">
        <v>19</v>
      </c>
      <c r="J253" s="26" t="s">
        <v>2369</v>
      </c>
      <c r="K253" s="26" t="s">
        <v>2371</v>
      </c>
      <c r="L253" s="26"/>
      <c r="M253" s="32" t="s">
        <v>1979</v>
      </c>
      <c r="N253" s="32" t="s">
        <v>1979</v>
      </c>
      <c r="O253" s="37"/>
      <c r="P253" s="35"/>
      <c r="Q253" s="35"/>
    </row>
    <row r="254">
      <c r="A254" s="2">
        <v>7.0</v>
      </c>
      <c r="B254" s="2">
        <v>8.0</v>
      </c>
      <c r="C254" s="2" t="s">
        <v>1973</v>
      </c>
      <c r="D254" s="12" t="s">
        <v>72</v>
      </c>
      <c r="E254" s="2" t="s">
        <v>19</v>
      </c>
      <c r="F254" s="33" t="s">
        <v>1495</v>
      </c>
      <c r="G254" s="33" t="s">
        <v>2372</v>
      </c>
      <c r="H254" s="33"/>
      <c r="I254" s="26" t="s">
        <v>19</v>
      </c>
      <c r="J254" s="26" t="s">
        <v>1495</v>
      </c>
      <c r="K254" s="26" t="s">
        <v>2373</v>
      </c>
      <c r="L254" s="26"/>
      <c r="M254" s="32" t="s">
        <v>1979</v>
      </c>
      <c r="N254" s="32" t="s">
        <v>1979</v>
      </c>
      <c r="O254" s="37"/>
      <c r="P254" s="35"/>
      <c r="Q254" s="35"/>
    </row>
    <row r="255">
      <c r="A255" s="2">
        <v>7.0</v>
      </c>
      <c r="B255" s="2">
        <v>8.0</v>
      </c>
      <c r="C255" s="2" t="s">
        <v>1973</v>
      </c>
      <c r="D255" s="12" t="s">
        <v>72</v>
      </c>
      <c r="E255" s="2" t="s">
        <v>19</v>
      </c>
      <c r="F255" s="33" t="s">
        <v>1497</v>
      </c>
      <c r="G255" s="33" t="s">
        <v>2374</v>
      </c>
      <c r="H255" s="33"/>
      <c r="I255" s="26" t="s">
        <v>19</v>
      </c>
      <c r="J255" s="26" t="s">
        <v>1497</v>
      </c>
      <c r="K255" s="26" t="s">
        <v>2375</v>
      </c>
      <c r="L255" s="26"/>
      <c r="M255" s="32"/>
      <c r="N255" s="32"/>
      <c r="O255" s="37"/>
      <c r="P255" s="35"/>
      <c r="Q255" s="35"/>
    </row>
    <row r="256">
      <c r="A256" s="2">
        <v>7.0</v>
      </c>
      <c r="B256" s="2">
        <v>8.0</v>
      </c>
      <c r="C256" s="2" t="s">
        <v>1973</v>
      </c>
      <c r="D256" s="12" t="s">
        <v>72</v>
      </c>
      <c r="E256" s="2" t="s">
        <v>8</v>
      </c>
      <c r="F256" s="33" t="s">
        <v>1499</v>
      </c>
      <c r="G256" s="33" t="s">
        <v>2376</v>
      </c>
      <c r="H256" s="33"/>
      <c r="I256" s="26" t="s">
        <v>8</v>
      </c>
      <c r="J256" s="26" t="s">
        <v>1499</v>
      </c>
      <c r="K256" s="26" t="s">
        <v>2377</v>
      </c>
      <c r="L256" s="26"/>
      <c r="M256" s="32" t="s">
        <v>1979</v>
      </c>
      <c r="N256" s="32" t="s">
        <v>1979</v>
      </c>
      <c r="O256" s="37"/>
      <c r="P256" s="35"/>
      <c r="Q256" s="35"/>
    </row>
    <row r="257">
      <c r="A257" s="2">
        <v>7.0</v>
      </c>
      <c r="B257" s="2">
        <v>9.0</v>
      </c>
      <c r="C257" s="2" t="s">
        <v>1973</v>
      </c>
      <c r="D257" s="2" t="s">
        <v>176</v>
      </c>
      <c r="E257" s="2" t="s">
        <v>8</v>
      </c>
      <c r="F257" s="33" t="s">
        <v>1501</v>
      </c>
      <c r="G257" s="33" t="s">
        <v>2378</v>
      </c>
      <c r="H257" s="33"/>
      <c r="I257" s="26" t="s">
        <v>8</v>
      </c>
      <c r="J257" s="26" t="s">
        <v>1501</v>
      </c>
      <c r="K257" s="26" t="s">
        <v>2379</v>
      </c>
      <c r="L257" s="26"/>
      <c r="M257" s="32" t="s">
        <v>1979</v>
      </c>
      <c r="N257" s="32" t="s">
        <v>1979</v>
      </c>
      <c r="O257" s="37"/>
      <c r="P257" s="35"/>
      <c r="Q257" s="35"/>
    </row>
    <row r="258">
      <c r="A258" s="2">
        <v>7.0</v>
      </c>
      <c r="B258" s="2">
        <v>9.0</v>
      </c>
      <c r="C258" s="2" t="s">
        <v>1973</v>
      </c>
      <c r="D258" s="2" t="s">
        <v>176</v>
      </c>
      <c r="E258" s="2" t="s">
        <v>8</v>
      </c>
      <c r="F258" s="33" t="s">
        <v>1503</v>
      </c>
      <c r="G258" s="33" t="s">
        <v>2380</v>
      </c>
      <c r="H258" s="33"/>
      <c r="I258" s="26" t="s">
        <v>8</v>
      </c>
      <c r="J258" s="26" t="s">
        <v>1503</v>
      </c>
      <c r="K258" s="26" t="s">
        <v>2381</v>
      </c>
      <c r="L258" s="26"/>
      <c r="M258" s="32" t="s">
        <v>1979</v>
      </c>
      <c r="N258" s="32" t="s">
        <v>1979</v>
      </c>
      <c r="O258" s="37"/>
      <c r="P258" s="35"/>
      <c r="Q258" s="35"/>
    </row>
    <row r="259">
      <c r="A259" s="8">
        <v>8.0</v>
      </c>
      <c r="B259" s="2">
        <v>1.0</v>
      </c>
      <c r="C259" s="2" t="s">
        <v>1967</v>
      </c>
      <c r="D259" s="12" t="s">
        <v>451</v>
      </c>
      <c r="E259" s="2" t="s">
        <v>8</v>
      </c>
      <c r="F259" s="33" t="s">
        <v>2382</v>
      </c>
      <c r="G259" s="33" t="s">
        <v>2382</v>
      </c>
      <c r="H259" s="33"/>
      <c r="I259" s="26" t="s">
        <v>8</v>
      </c>
      <c r="J259" s="26" t="s">
        <v>1063</v>
      </c>
      <c r="K259" s="26" t="s">
        <v>1063</v>
      </c>
      <c r="L259" s="26"/>
      <c r="M259" s="32"/>
      <c r="N259" s="32"/>
      <c r="O259" s="37"/>
      <c r="P259" s="35"/>
      <c r="Q259" s="35"/>
    </row>
    <row r="260">
      <c r="A260" s="8">
        <v>8.0</v>
      </c>
      <c r="B260" s="2">
        <v>1.0</v>
      </c>
      <c r="C260" s="2" t="s">
        <v>1967</v>
      </c>
      <c r="D260" s="12" t="s">
        <v>451</v>
      </c>
      <c r="E260" s="2" t="s">
        <v>19</v>
      </c>
      <c r="F260" s="33" t="s">
        <v>2383</v>
      </c>
      <c r="G260" s="33" t="s">
        <v>2384</v>
      </c>
      <c r="H260" s="33"/>
      <c r="I260" s="26" t="s">
        <v>19</v>
      </c>
      <c r="J260" s="26" t="s">
        <v>2383</v>
      </c>
      <c r="K260" s="26" t="s">
        <v>2385</v>
      </c>
      <c r="L260" s="26"/>
      <c r="M260" s="32" t="s">
        <v>1979</v>
      </c>
      <c r="N260" s="32" t="s">
        <v>1979</v>
      </c>
      <c r="O260" s="37"/>
      <c r="P260" s="35"/>
      <c r="Q260" s="35"/>
    </row>
    <row r="261">
      <c r="A261" s="8">
        <v>8.0</v>
      </c>
      <c r="B261" s="2">
        <v>1.0</v>
      </c>
      <c r="C261" s="2" t="s">
        <v>1967</v>
      </c>
      <c r="D261" s="12" t="s">
        <v>451</v>
      </c>
      <c r="E261" s="2" t="s">
        <v>19</v>
      </c>
      <c r="F261" s="33" t="s">
        <v>456</v>
      </c>
      <c r="G261" s="33" t="s">
        <v>2386</v>
      </c>
      <c r="H261" s="33"/>
      <c r="I261" s="26" t="s">
        <v>19</v>
      </c>
      <c r="J261" s="26" t="s">
        <v>456</v>
      </c>
      <c r="K261" s="26" t="s">
        <v>2387</v>
      </c>
      <c r="L261" s="26"/>
      <c r="M261" s="32" t="s">
        <v>1979</v>
      </c>
      <c r="N261" s="32" t="s">
        <v>1979</v>
      </c>
      <c r="O261" s="37"/>
      <c r="P261" s="35"/>
      <c r="Q261" s="35"/>
    </row>
    <row r="262">
      <c r="A262" s="8">
        <v>8.0</v>
      </c>
      <c r="B262" s="2">
        <v>1.0</v>
      </c>
      <c r="C262" s="2" t="s">
        <v>1967</v>
      </c>
      <c r="D262" s="12" t="s">
        <v>451</v>
      </c>
      <c r="E262" s="2" t="s">
        <v>19</v>
      </c>
      <c r="F262" s="33" t="s">
        <v>460</v>
      </c>
      <c r="G262" s="33" t="s">
        <v>2388</v>
      </c>
      <c r="H262" s="33"/>
      <c r="I262" s="26" t="s">
        <v>19</v>
      </c>
      <c r="J262" s="26" t="s">
        <v>460</v>
      </c>
      <c r="K262" s="26" t="s">
        <v>461</v>
      </c>
      <c r="L262" s="26"/>
      <c r="M262" s="32" t="s">
        <v>1979</v>
      </c>
      <c r="N262" s="32" t="s">
        <v>1979</v>
      </c>
      <c r="O262" s="37"/>
      <c r="P262" s="35"/>
      <c r="Q262" s="35"/>
    </row>
    <row r="263">
      <c r="A263" s="8">
        <v>8.0</v>
      </c>
      <c r="B263" s="2">
        <v>1.0</v>
      </c>
      <c r="C263" s="2" t="s">
        <v>1967</v>
      </c>
      <c r="D263" s="12" t="s">
        <v>451</v>
      </c>
      <c r="E263" s="2" t="s">
        <v>19</v>
      </c>
      <c r="F263" s="33" t="s">
        <v>462</v>
      </c>
      <c r="G263" s="33" t="s">
        <v>2389</v>
      </c>
      <c r="H263" s="33"/>
      <c r="I263" s="26" t="s">
        <v>19</v>
      </c>
      <c r="J263" s="26" t="s">
        <v>462</v>
      </c>
      <c r="K263" s="26" t="s">
        <v>2390</v>
      </c>
      <c r="L263" s="26"/>
      <c r="M263" s="32" t="s">
        <v>1979</v>
      </c>
      <c r="N263" s="32" t="s">
        <v>1979</v>
      </c>
      <c r="O263" s="37"/>
      <c r="P263" s="35"/>
      <c r="Q263" s="35"/>
    </row>
    <row r="264">
      <c r="A264" s="8">
        <v>8.0</v>
      </c>
      <c r="B264" s="2">
        <v>1.0</v>
      </c>
      <c r="C264" s="2" t="s">
        <v>1967</v>
      </c>
      <c r="D264" s="12" t="s">
        <v>451</v>
      </c>
      <c r="E264" s="2" t="s">
        <v>19</v>
      </c>
      <c r="F264" s="33" t="s">
        <v>2391</v>
      </c>
      <c r="G264" s="33" t="s">
        <v>2392</v>
      </c>
      <c r="H264" s="33"/>
      <c r="I264" s="26" t="s">
        <v>19</v>
      </c>
      <c r="J264" s="26" t="s">
        <v>2391</v>
      </c>
      <c r="K264" s="26" t="s">
        <v>2392</v>
      </c>
      <c r="L264" s="26"/>
      <c r="M264" s="32" t="s">
        <v>1979</v>
      </c>
      <c r="N264" s="32" t="s">
        <v>1979</v>
      </c>
      <c r="O264" s="37"/>
      <c r="P264" s="35"/>
      <c r="Q264" s="35"/>
    </row>
    <row r="265">
      <c r="A265" s="8">
        <v>8.0</v>
      </c>
      <c r="B265" s="2">
        <v>1.0</v>
      </c>
      <c r="C265" s="2" t="s">
        <v>1967</v>
      </c>
      <c r="D265" s="12" t="s">
        <v>451</v>
      </c>
      <c r="E265" s="2" t="s">
        <v>19</v>
      </c>
      <c r="F265" s="33" t="s">
        <v>1066</v>
      </c>
      <c r="G265" s="33" t="s">
        <v>2393</v>
      </c>
      <c r="H265" s="33"/>
      <c r="I265" s="26" t="s">
        <v>19</v>
      </c>
      <c r="J265" s="26" t="s">
        <v>2394</v>
      </c>
      <c r="K265" s="26" t="s">
        <v>2393</v>
      </c>
      <c r="L265" s="26"/>
      <c r="M265" s="32"/>
      <c r="N265" s="32"/>
      <c r="O265" s="37"/>
      <c r="P265" s="35"/>
      <c r="Q265" s="35"/>
    </row>
    <row r="266">
      <c r="A266" s="22">
        <v>8.0</v>
      </c>
      <c r="B266" s="22">
        <v>2.0</v>
      </c>
      <c r="C266" s="2" t="s">
        <v>1971</v>
      </c>
      <c r="D266" s="12" t="s">
        <v>451</v>
      </c>
      <c r="E266" s="2" t="s">
        <v>19</v>
      </c>
      <c r="F266" s="33" t="s">
        <v>1070</v>
      </c>
      <c r="G266" s="33" t="s">
        <v>2395</v>
      </c>
      <c r="H266" s="33"/>
      <c r="I266" s="26" t="s">
        <v>19</v>
      </c>
      <c r="J266" s="26" t="s">
        <v>1070</v>
      </c>
      <c r="K266" s="26" t="s">
        <v>2396</v>
      </c>
      <c r="L266" s="26"/>
      <c r="M266" s="32"/>
      <c r="N266" s="32"/>
      <c r="O266" s="37"/>
      <c r="P266" s="35"/>
      <c r="Q266" s="35"/>
    </row>
    <row r="267">
      <c r="A267" s="22">
        <v>8.0</v>
      </c>
      <c r="B267" s="22">
        <v>2.0</v>
      </c>
      <c r="C267" s="2" t="s">
        <v>1971</v>
      </c>
      <c r="D267" s="12" t="s">
        <v>451</v>
      </c>
      <c r="E267" s="2" t="s">
        <v>19</v>
      </c>
      <c r="F267" s="33" t="s">
        <v>2397</v>
      </c>
      <c r="G267" s="33" t="s">
        <v>2398</v>
      </c>
      <c r="H267" s="33"/>
      <c r="I267" s="26" t="s">
        <v>19</v>
      </c>
      <c r="J267" s="26" t="s">
        <v>2397</v>
      </c>
      <c r="K267" s="26" t="s">
        <v>2398</v>
      </c>
      <c r="L267" s="26"/>
      <c r="M267" s="32"/>
      <c r="N267" s="32"/>
      <c r="O267" s="37"/>
      <c r="P267" s="35"/>
      <c r="Q267" s="35"/>
    </row>
    <row r="268">
      <c r="A268" s="22">
        <v>8.0</v>
      </c>
      <c r="B268" s="22">
        <v>2.0</v>
      </c>
      <c r="C268" s="2" t="s">
        <v>1971</v>
      </c>
      <c r="D268" s="12" t="s">
        <v>451</v>
      </c>
      <c r="E268" s="2" t="s">
        <v>19</v>
      </c>
      <c r="F268" s="33" t="s">
        <v>1509</v>
      </c>
      <c r="G268" s="33" t="s">
        <v>1510</v>
      </c>
      <c r="H268" s="33"/>
      <c r="I268" s="26" t="s">
        <v>19</v>
      </c>
      <c r="J268" s="26" t="s">
        <v>1509</v>
      </c>
      <c r="K268" s="26" t="s">
        <v>1510</v>
      </c>
      <c r="L268" s="26"/>
      <c r="M268" s="32" t="s">
        <v>1979</v>
      </c>
      <c r="N268" s="32" t="s">
        <v>1979</v>
      </c>
      <c r="O268" s="37"/>
      <c r="P268" s="35"/>
      <c r="Q268" s="35"/>
    </row>
    <row r="269">
      <c r="A269" s="22">
        <v>8.0</v>
      </c>
      <c r="B269" s="22">
        <v>2.0</v>
      </c>
      <c r="C269" s="2" t="s">
        <v>1971</v>
      </c>
      <c r="D269" s="12" t="s">
        <v>451</v>
      </c>
      <c r="E269" s="2" t="s">
        <v>19</v>
      </c>
      <c r="F269" s="33" t="s">
        <v>1076</v>
      </c>
      <c r="G269" s="33" t="s">
        <v>2399</v>
      </c>
      <c r="H269" s="33"/>
      <c r="I269" s="26" t="s">
        <v>19</v>
      </c>
      <c r="J269" s="26" t="s">
        <v>1076</v>
      </c>
      <c r="K269" s="26" t="s">
        <v>2399</v>
      </c>
      <c r="L269" s="26"/>
      <c r="M269" s="32" t="s">
        <v>1979</v>
      </c>
      <c r="N269" s="32" t="s">
        <v>1979</v>
      </c>
      <c r="O269" s="37"/>
      <c r="P269" s="35"/>
      <c r="Q269" s="35"/>
    </row>
    <row r="270">
      <c r="A270" s="8">
        <v>8.0</v>
      </c>
      <c r="B270" s="2">
        <v>3.0</v>
      </c>
      <c r="C270" s="2" t="s">
        <v>1973</v>
      </c>
      <c r="D270" s="12" t="s">
        <v>451</v>
      </c>
      <c r="E270" s="2" t="s">
        <v>19</v>
      </c>
      <c r="F270" s="33" t="s">
        <v>476</v>
      </c>
      <c r="G270" s="33" t="s">
        <v>2400</v>
      </c>
      <c r="H270" s="33"/>
      <c r="I270" s="26" t="s">
        <v>19</v>
      </c>
      <c r="J270" s="26" t="s">
        <v>476</v>
      </c>
      <c r="K270" s="26" t="s">
        <v>2401</v>
      </c>
      <c r="L270" s="26"/>
      <c r="M270" s="32" t="s">
        <v>2106</v>
      </c>
      <c r="N270" s="32" t="s">
        <v>1979</v>
      </c>
      <c r="O270" s="37"/>
      <c r="P270" s="35"/>
      <c r="Q270" s="35"/>
    </row>
    <row r="271">
      <c r="A271" s="8">
        <v>8.0</v>
      </c>
      <c r="B271" s="2">
        <v>3.0</v>
      </c>
      <c r="C271" s="2" t="s">
        <v>1973</v>
      </c>
      <c r="D271" s="12" t="s">
        <v>451</v>
      </c>
      <c r="E271" s="2" t="s">
        <v>19</v>
      </c>
      <c r="F271" s="33" t="s">
        <v>2402</v>
      </c>
      <c r="G271" s="33" t="s">
        <v>2403</v>
      </c>
      <c r="H271" s="33"/>
      <c r="I271" s="26" t="s">
        <v>19</v>
      </c>
      <c r="J271" s="26" t="s">
        <v>2402</v>
      </c>
      <c r="K271" s="26" t="s">
        <v>2403</v>
      </c>
      <c r="L271" s="26"/>
      <c r="M271" s="32"/>
      <c r="N271" s="32"/>
      <c r="O271" s="37"/>
      <c r="P271" s="35"/>
      <c r="Q271" s="35"/>
    </row>
    <row r="272">
      <c r="A272" s="8">
        <v>8.0</v>
      </c>
      <c r="B272" s="2">
        <v>4.0</v>
      </c>
      <c r="C272" s="2" t="s">
        <v>1973</v>
      </c>
      <c r="D272" s="12" t="s">
        <v>451</v>
      </c>
      <c r="E272" s="2" t="s">
        <v>19</v>
      </c>
      <c r="F272" s="33" t="s">
        <v>482</v>
      </c>
      <c r="G272" s="33" t="s">
        <v>2404</v>
      </c>
      <c r="H272" s="33"/>
      <c r="I272" s="26" t="s">
        <v>19</v>
      </c>
      <c r="J272" s="26" t="s">
        <v>482</v>
      </c>
      <c r="K272" s="26" t="s">
        <v>1519</v>
      </c>
      <c r="L272" s="26"/>
      <c r="M272" s="32" t="s">
        <v>1979</v>
      </c>
      <c r="N272" s="32" t="s">
        <v>1979</v>
      </c>
      <c r="O272" s="37"/>
      <c r="P272" s="35"/>
      <c r="Q272" s="35"/>
    </row>
    <row r="273">
      <c r="A273" s="8">
        <v>8.0</v>
      </c>
      <c r="B273" s="2">
        <v>4.0</v>
      </c>
      <c r="C273" s="2" t="s">
        <v>1973</v>
      </c>
      <c r="D273" s="12" t="s">
        <v>451</v>
      </c>
      <c r="E273" s="2" t="s">
        <v>19</v>
      </c>
      <c r="F273" s="33" t="s">
        <v>484</v>
      </c>
      <c r="G273" s="33" t="s">
        <v>2405</v>
      </c>
      <c r="H273" s="33"/>
      <c r="I273" s="26" t="s">
        <v>19</v>
      </c>
      <c r="J273" s="26" t="s">
        <v>1520</v>
      </c>
      <c r="K273" s="26" t="s">
        <v>2406</v>
      </c>
      <c r="L273" s="26"/>
      <c r="M273" s="32"/>
      <c r="N273" s="32"/>
      <c r="O273" s="37"/>
      <c r="P273" s="35"/>
      <c r="Q273" s="35"/>
    </row>
    <row r="274">
      <c r="A274" s="8">
        <v>8.0</v>
      </c>
      <c r="B274" s="2">
        <v>4.0</v>
      </c>
      <c r="C274" s="2" t="s">
        <v>1973</v>
      </c>
      <c r="D274" s="12" t="s">
        <v>451</v>
      </c>
      <c r="E274" s="2" t="s">
        <v>19</v>
      </c>
      <c r="F274" s="33" t="s">
        <v>486</v>
      </c>
      <c r="G274" s="33" t="s">
        <v>2407</v>
      </c>
      <c r="H274" s="33"/>
      <c r="I274" s="26" t="s">
        <v>19</v>
      </c>
      <c r="J274" s="26" t="s">
        <v>486</v>
      </c>
      <c r="K274" s="26" t="s">
        <v>2408</v>
      </c>
      <c r="L274" s="26"/>
      <c r="M274" s="32"/>
      <c r="N274" s="32"/>
      <c r="O274" s="37"/>
      <c r="P274" s="35"/>
      <c r="Q274" s="35"/>
    </row>
    <row r="275">
      <c r="A275" s="8">
        <v>8.0</v>
      </c>
      <c r="B275" s="2">
        <v>4.0</v>
      </c>
      <c r="C275" s="2" t="s">
        <v>1973</v>
      </c>
      <c r="D275" s="12" t="s">
        <v>451</v>
      </c>
      <c r="E275" s="2" t="s">
        <v>19</v>
      </c>
      <c r="F275" s="33" t="s">
        <v>2409</v>
      </c>
      <c r="G275" s="33" t="s">
        <v>2410</v>
      </c>
      <c r="H275" s="33"/>
      <c r="I275" s="26" t="s">
        <v>19</v>
      </c>
      <c r="J275" s="26" t="s">
        <v>2409</v>
      </c>
      <c r="K275" s="26" t="s">
        <v>489</v>
      </c>
      <c r="L275" s="26"/>
      <c r="M275" s="32" t="s">
        <v>1979</v>
      </c>
      <c r="N275" s="32" t="s">
        <v>1979</v>
      </c>
      <c r="O275" s="37"/>
      <c r="P275" s="35"/>
      <c r="Q275" s="35"/>
    </row>
    <row r="276">
      <c r="A276" s="8">
        <v>8.0</v>
      </c>
      <c r="B276" s="2">
        <v>4.0</v>
      </c>
      <c r="C276" s="2" t="s">
        <v>1973</v>
      </c>
      <c r="D276" s="12" t="s">
        <v>451</v>
      </c>
      <c r="E276" s="2" t="s">
        <v>19</v>
      </c>
      <c r="F276" s="33" t="s">
        <v>1525</v>
      </c>
      <c r="G276" s="33" t="s">
        <v>1525</v>
      </c>
      <c r="H276" s="33"/>
      <c r="I276" s="26" t="s">
        <v>19</v>
      </c>
      <c r="J276" s="26" t="s">
        <v>1525</v>
      </c>
      <c r="K276" s="26" t="s">
        <v>1525</v>
      </c>
      <c r="L276" s="26"/>
      <c r="M276" s="32"/>
      <c r="N276" s="32"/>
      <c r="O276" s="37"/>
      <c r="P276" s="35"/>
      <c r="Q276" s="35"/>
    </row>
    <row r="277">
      <c r="A277" s="8">
        <v>8.0</v>
      </c>
      <c r="B277" s="2">
        <v>4.0</v>
      </c>
      <c r="C277" s="2" t="s">
        <v>1973</v>
      </c>
      <c r="D277" s="12" t="s">
        <v>451</v>
      </c>
      <c r="E277" s="2" t="s">
        <v>19</v>
      </c>
      <c r="F277" s="33" t="s">
        <v>490</v>
      </c>
      <c r="G277" s="33" t="s">
        <v>2411</v>
      </c>
      <c r="H277" s="33"/>
      <c r="I277" s="26" t="s">
        <v>19</v>
      </c>
      <c r="J277" s="26" t="s">
        <v>1526</v>
      </c>
      <c r="K277" s="26" t="s">
        <v>2411</v>
      </c>
      <c r="L277" s="26"/>
      <c r="M277" s="32" t="s">
        <v>2106</v>
      </c>
      <c r="N277" s="32" t="s">
        <v>1979</v>
      </c>
      <c r="O277" s="37"/>
      <c r="P277" s="35"/>
      <c r="Q277" s="35"/>
    </row>
    <row r="278">
      <c r="A278" s="8">
        <v>8.0</v>
      </c>
      <c r="B278" s="2">
        <v>6.0</v>
      </c>
      <c r="C278" s="2" t="s">
        <v>1967</v>
      </c>
      <c r="D278" s="12" t="s">
        <v>451</v>
      </c>
      <c r="E278" s="2" t="s">
        <v>19</v>
      </c>
      <c r="F278" s="33" t="s">
        <v>492</v>
      </c>
      <c r="G278" s="33" t="s">
        <v>2412</v>
      </c>
      <c r="H278" s="33"/>
      <c r="I278" s="26" t="s">
        <v>19</v>
      </c>
      <c r="J278" s="26" t="s">
        <v>492</v>
      </c>
      <c r="K278" s="26" t="s">
        <v>2413</v>
      </c>
      <c r="L278" s="26"/>
      <c r="M278" s="32" t="s">
        <v>1979</v>
      </c>
      <c r="N278" s="32" t="s">
        <v>1979</v>
      </c>
      <c r="O278" s="37"/>
      <c r="P278" s="35"/>
      <c r="Q278" s="35"/>
    </row>
    <row r="279">
      <c r="A279" s="8">
        <v>8.0</v>
      </c>
      <c r="B279" s="2">
        <v>6.0</v>
      </c>
      <c r="C279" s="2" t="s">
        <v>1967</v>
      </c>
      <c r="D279" s="12" t="s">
        <v>451</v>
      </c>
      <c r="E279" s="2" t="s">
        <v>19</v>
      </c>
      <c r="F279" s="33" t="s">
        <v>1078</v>
      </c>
      <c r="G279" s="33" t="s">
        <v>2414</v>
      </c>
      <c r="H279" s="33"/>
      <c r="I279" s="26" t="s">
        <v>19</v>
      </c>
      <c r="J279" s="26" t="s">
        <v>1078</v>
      </c>
      <c r="K279" s="26" t="s">
        <v>1079</v>
      </c>
      <c r="L279" s="26"/>
      <c r="M279" s="32"/>
      <c r="N279" s="32"/>
      <c r="O279" s="37"/>
      <c r="P279" s="35"/>
      <c r="Q279" s="35"/>
    </row>
    <row r="280">
      <c r="A280" s="8">
        <v>8.0</v>
      </c>
      <c r="B280" s="2">
        <v>6.0</v>
      </c>
      <c r="C280" s="2" t="s">
        <v>1967</v>
      </c>
      <c r="D280" s="12" t="s">
        <v>451</v>
      </c>
      <c r="E280" s="2" t="s">
        <v>19</v>
      </c>
      <c r="F280" s="33" t="s">
        <v>496</v>
      </c>
      <c r="G280" s="33" t="s">
        <v>2415</v>
      </c>
      <c r="H280" s="33"/>
      <c r="I280" s="26" t="s">
        <v>19</v>
      </c>
      <c r="J280" s="26" t="s">
        <v>496</v>
      </c>
      <c r="K280" s="26" t="s">
        <v>2416</v>
      </c>
      <c r="L280" s="26"/>
      <c r="M280" s="32" t="s">
        <v>1979</v>
      </c>
      <c r="N280" s="32" t="s">
        <v>1979</v>
      </c>
      <c r="O280" s="37"/>
      <c r="P280" s="35"/>
      <c r="Q280" s="35"/>
    </row>
    <row r="281">
      <c r="A281" s="22">
        <v>8.0</v>
      </c>
      <c r="B281" s="22">
        <v>7.0</v>
      </c>
      <c r="C281" s="2" t="s">
        <v>1971</v>
      </c>
      <c r="D281" s="2" t="s">
        <v>7</v>
      </c>
      <c r="E281" s="2" t="s">
        <v>8</v>
      </c>
      <c r="F281" s="33" t="s">
        <v>1080</v>
      </c>
      <c r="G281" s="33" t="s">
        <v>2417</v>
      </c>
      <c r="H281" s="33"/>
      <c r="I281" s="26" t="s">
        <v>8</v>
      </c>
      <c r="J281" s="26" t="s">
        <v>1080</v>
      </c>
      <c r="K281" s="26" t="s">
        <v>2417</v>
      </c>
      <c r="L281" s="26"/>
      <c r="M281" s="32"/>
      <c r="N281" s="32"/>
      <c r="O281" s="37"/>
      <c r="P281" s="35"/>
      <c r="Q281" s="35"/>
    </row>
    <row r="282">
      <c r="A282" s="2">
        <v>8.0</v>
      </c>
      <c r="B282" s="2">
        <v>7.0</v>
      </c>
      <c r="C282" s="2" t="s">
        <v>1973</v>
      </c>
      <c r="D282" s="2" t="s">
        <v>7</v>
      </c>
      <c r="E282" s="2" t="s">
        <v>8</v>
      </c>
      <c r="F282" s="33" t="s">
        <v>2418</v>
      </c>
      <c r="G282" s="33" t="s">
        <v>2419</v>
      </c>
      <c r="H282" s="33"/>
      <c r="I282" s="26" t="s">
        <v>8</v>
      </c>
      <c r="J282" s="26" t="s">
        <v>2418</v>
      </c>
      <c r="K282" s="26" t="s">
        <v>2419</v>
      </c>
      <c r="L282" s="26"/>
      <c r="M282" s="32"/>
      <c r="N282" s="32"/>
      <c r="O282" s="37"/>
      <c r="P282" s="35"/>
      <c r="Q282" s="35"/>
    </row>
    <row r="283">
      <c r="A283" s="22">
        <v>8.0</v>
      </c>
      <c r="B283" s="22">
        <v>7.0</v>
      </c>
      <c r="C283" s="2" t="s">
        <v>1971</v>
      </c>
      <c r="D283" s="2" t="s">
        <v>7</v>
      </c>
      <c r="E283" s="2" t="s">
        <v>19</v>
      </c>
      <c r="F283" s="33" t="s">
        <v>1532</v>
      </c>
      <c r="G283" s="33" t="s">
        <v>2420</v>
      </c>
      <c r="H283" s="33"/>
      <c r="I283" s="26" t="s">
        <v>19</v>
      </c>
      <c r="J283" s="26" t="s">
        <v>1532</v>
      </c>
      <c r="K283" s="26" t="s">
        <v>2420</v>
      </c>
      <c r="L283" s="26"/>
      <c r="M283" s="32"/>
      <c r="N283" s="32"/>
      <c r="O283" s="37"/>
      <c r="P283" s="35"/>
      <c r="Q283" s="35"/>
    </row>
    <row r="284">
      <c r="A284" s="22">
        <v>8.0</v>
      </c>
      <c r="B284" s="22">
        <v>7.0</v>
      </c>
      <c r="C284" s="2" t="s">
        <v>1971</v>
      </c>
      <c r="D284" s="2" t="s">
        <v>7</v>
      </c>
      <c r="E284" s="2" t="s">
        <v>8</v>
      </c>
      <c r="F284" s="33" t="s">
        <v>1082</v>
      </c>
      <c r="G284" s="33" t="s">
        <v>2421</v>
      </c>
      <c r="H284" s="33"/>
      <c r="I284" s="26" t="s">
        <v>8</v>
      </c>
      <c r="J284" s="26" t="s">
        <v>1082</v>
      </c>
      <c r="K284" s="26" t="s">
        <v>2421</v>
      </c>
      <c r="L284" s="26"/>
      <c r="M284" s="32"/>
      <c r="N284" s="32"/>
      <c r="O284" s="37"/>
      <c r="P284" s="35"/>
      <c r="Q284" s="35"/>
    </row>
    <row r="285">
      <c r="A285" s="22">
        <v>8.0</v>
      </c>
      <c r="B285" s="22">
        <v>7.0</v>
      </c>
      <c r="C285" s="2" t="s">
        <v>1971</v>
      </c>
      <c r="D285" s="2" t="s">
        <v>7</v>
      </c>
      <c r="E285" s="2" t="s">
        <v>19</v>
      </c>
      <c r="F285" s="33" t="s">
        <v>1084</v>
      </c>
      <c r="G285" s="33" t="s">
        <v>2422</v>
      </c>
      <c r="H285" s="33"/>
      <c r="I285" s="26" t="s">
        <v>19</v>
      </c>
      <c r="J285" s="26" t="s">
        <v>1084</v>
      </c>
      <c r="K285" s="26" t="s">
        <v>2422</v>
      </c>
      <c r="L285" s="26"/>
      <c r="M285" s="32"/>
      <c r="N285" s="32"/>
      <c r="O285" s="37"/>
      <c r="P285" s="35"/>
      <c r="Q285" s="35"/>
    </row>
    <row r="286">
      <c r="A286" s="22">
        <v>8.0</v>
      </c>
      <c r="B286" s="22">
        <v>7.0</v>
      </c>
      <c r="C286" s="2" t="s">
        <v>1971</v>
      </c>
      <c r="D286" s="2" t="s">
        <v>7</v>
      </c>
      <c r="E286" s="2" t="s">
        <v>19</v>
      </c>
      <c r="F286" s="33" t="s">
        <v>2423</v>
      </c>
      <c r="G286" s="33" t="s">
        <v>1537</v>
      </c>
      <c r="H286" s="33"/>
      <c r="I286" s="26" t="s">
        <v>19</v>
      </c>
      <c r="J286" s="26" t="s">
        <v>2423</v>
      </c>
      <c r="K286" s="26" t="s">
        <v>1537</v>
      </c>
      <c r="L286" s="26"/>
      <c r="M286" s="32"/>
      <c r="N286" s="32"/>
      <c r="O286" s="37"/>
      <c r="P286" s="35"/>
      <c r="Q286" s="35"/>
    </row>
    <row r="287">
      <c r="A287" s="8">
        <v>8.0</v>
      </c>
      <c r="B287" s="2">
        <v>8.0</v>
      </c>
      <c r="C287" s="2" t="s">
        <v>1973</v>
      </c>
      <c r="D287" s="2" t="s">
        <v>59</v>
      </c>
      <c r="E287" s="2" t="s">
        <v>19</v>
      </c>
      <c r="F287" s="33" t="s">
        <v>498</v>
      </c>
      <c r="G287" s="33" t="s">
        <v>2424</v>
      </c>
      <c r="H287" s="33"/>
      <c r="I287" s="26" t="s">
        <v>19</v>
      </c>
      <c r="J287" s="26" t="s">
        <v>2425</v>
      </c>
      <c r="K287" s="26" t="s">
        <v>2424</v>
      </c>
      <c r="L287" s="26"/>
      <c r="M287" s="32"/>
      <c r="N287" s="32"/>
      <c r="O287" s="37"/>
      <c r="P287" s="35"/>
      <c r="Q287" s="35"/>
    </row>
    <row r="288">
      <c r="A288" s="8">
        <v>8.0</v>
      </c>
      <c r="B288" s="2">
        <v>8.0</v>
      </c>
      <c r="C288" s="2" t="s">
        <v>1973</v>
      </c>
      <c r="D288" s="2" t="s">
        <v>59</v>
      </c>
      <c r="E288" s="2" t="s">
        <v>8</v>
      </c>
      <c r="F288" s="33" t="s">
        <v>500</v>
      </c>
      <c r="G288" s="33" t="s">
        <v>2426</v>
      </c>
      <c r="H288" s="33"/>
      <c r="I288" s="26" t="s">
        <v>8</v>
      </c>
      <c r="J288" s="26" t="s">
        <v>500</v>
      </c>
      <c r="K288" s="26" t="s">
        <v>2426</v>
      </c>
      <c r="L288" s="26"/>
      <c r="M288" s="32" t="s">
        <v>1979</v>
      </c>
      <c r="N288" s="32" t="s">
        <v>1979</v>
      </c>
      <c r="O288" s="37"/>
      <c r="P288" s="35"/>
      <c r="Q288" s="35"/>
    </row>
    <row r="289">
      <c r="A289" s="8">
        <v>8.0</v>
      </c>
      <c r="B289" s="2">
        <v>8.0</v>
      </c>
      <c r="C289" s="2" t="s">
        <v>1973</v>
      </c>
      <c r="D289" s="2" t="s">
        <v>59</v>
      </c>
      <c r="E289" s="2" t="s">
        <v>19</v>
      </c>
      <c r="F289" s="33" t="s">
        <v>1542</v>
      </c>
      <c r="G289" s="33" t="s">
        <v>2427</v>
      </c>
      <c r="H289" s="33"/>
      <c r="I289" s="26" t="s">
        <v>19</v>
      </c>
      <c r="J289" s="26" t="s">
        <v>1542</v>
      </c>
      <c r="K289" s="26" t="s">
        <v>2427</v>
      </c>
      <c r="L289" s="26"/>
      <c r="M289" s="32"/>
      <c r="N289" s="32"/>
      <c r="O289" s="37"/>
      <c r="P289" s="35"/>
      <c r="Q289" s="35"/>
    </row>
    <row r="290">
      <c r="A290" s="8">
        <v>8.0</v>
      </c>
      <c r="B290" s="2">
        <v>8.0</v>
      </c>
      <c r="C290" s="2" t="s">
        <v>1973</v>
      </c>
      <c r="D290" s="2" t="s">
        <v>59</v>
      </c>
      <c r="E290" s="2" t="s">
        <v>19</v>
      </c>
      <c r="F290" s="33" t="s">
        <v>1542</v>
      </c>
      <c r="G290" s="33" t="s">
        <v>2428</v>
      </c>
      <c r="H290" s="33"/>
      <c r="I290" s="26" t="s">
        <v>19</v>
      </c>
      <c r="J290" s="26" t="s">
        <v>1542</v>
      </c>
      <c r="K290" s="26" t="s">
        <v>2428</v>
      </c>
      <c r="L290" s="26"/>
      <c r="M290" s="32"/>
      <c r="N290" s="32"/>
      <c r="O290" s="37"/>
      <c r="P290" s="35"/>
      <c r="Q290" s="35"/>
    </row>
    <row r="291">
      <c r="A291" s="8">
        <v>8.0</v>
      </c>
      <c r="B291" s="2">
        <v>8.0</v>
      </c>
      <c r="C291" s="2" t="s">
        <v>1973</v>
      </c>
      <c r="D291" s="2" t="s">
        <v>59</v>
      </c>
      <c r="E291" s="2" t="s">
        <v>8</v>
      </c>
      <c r="F291" s="33" t="s">
        <v>506</v>
      </c>
      <c r="G291" s="33" t="s">
        <v>507</v>
      </c>
      <c r="H291" s="33"/>
      <c r="I291" s="26" t="s">
        <v>8</v>
      </c>
      <c r="J291" s="26" t="s">
        <v>506</v>
      </c>
      <c r="K291" s="26" t="s">
        <v>507</v>
      </c>
      <c r="L291" s="26"/>
      <c r="M291" s="32" t="s">
        <v>1979</v>
      </c>
      <c r="N291" s="32" t="s">
        <v>1979</v>
      </c>
      <c r="O291" s="37"/>
      <c r="P291" s="35"/>
      <c r="Q291" s="35"/>
    </row>
    <row r="292">
      <c r="A292" s="8">
        <v>8.0</v>
      </c>
      <c r="B292" s="2">
        <v>8.0</v>
      </c>
      <c r="C292" s="2" t="s">
        <v>1973</v>
      </c>
      <c r="D292" s="2" t="s">
        <v>59</v>
      </c>
      <c r="E292" s="2" t="s">
        <v>19</v>
      </c>
      <c r="F292" s="33" t="s">
        <v>2429</v>
      </c>
      <c r="G292" s="33" t="s">
        <v>2430</v>
      </c>
      <c r="H292" s="33"/>
      <c r="I292" s="26" t="s">
        <v>19</v>
      </c>
      <c r="J292" s="26" t="s">
        <v>2429</v>
      </c>
      <c r="K292" s="26" t="s">
        <v>2430</v>
      </c>
      <c r="L292" s="26"/>
      <c r="M292" s="32"/>
      <c r="N292" s="32"/>
      <c r="O292" s="37"/>
      <c r="P292" s="35"/>
      <c r="Q292" s="35"/>
    </row>
    <row r="293">
      <c r="A293" s="8">
        <v>8.0</v>
      </c>
      <c r="B293" s="2">
        <v>8.0</v>
      </c>
      <c r="C293" s="2" t="s">
        <v>1973</v>
      </c>
      <c r="D293" s="2" t="s">
        <v>59</v>
      </c>
      <c r="E293" s="2" t="s">
        <v>19</v>
      </c>
      <c r="F293" s="33" t="s">
        <v>510</v>
      </c>
      <c r="G293" s="33" t="s">
        <v>2431</v>
      </c>
      <c r="H293" s="33"/>
      <c r="I293" s="26" t="s">
        <v>19</v>
      </c>
      <c r="J293" s="26" t="s">
        <v>510</v>
      </c>
      <c r="K293" s="26" t="s">
        <v>2432</v>
      </c>
      <c r="L293" s="26"/>
      <c r="M293" s="32" t="s">
        <v>1979</v>
      </c>
      <c r="N293" s="32" t="s">
        <v>1979</v>
      </c>
      <c r="O293" s="37"/>
      <c r="P293" s="35"/>
      <c r="Q293" s="35"/>
    </row>
    <row r="294">
      <c r="A294" s="8">
        <v>8.0</v>
      </c>
      <c r="B294" s="2">
        <v>9.0</v>
      </c>
      <c r="C294" s="2" t="s">
        <v>1973</v>
      </c>
      <c r="D294" s="2" t="s">
        <v>40</v>
      </c>
      <c r="E294" s="2" t="s">
        <v>19</v>
      </c>
      <c r="F294" s="33" t="s">
        <v>512</v>
      </c>
      <c r="G294" s="33" t="s">
        <v>2433</v>
      </c>
      <c r="H294" s="33"/>
      <c r="I294" s="26" t="s">
        <v>19</v>
      </c>
      <c r="J294" s="26" t="s">
        <v>1547</v>
      </c>
      <c r="K294" s="26" t="s">
        <v>2434</v>
      </c>
      <c r="L294" s="26"/>
      <c r="M294" s="32"/>
      <c r="N294" s="32"/>
      <c r="O294" s="37"/>
      <c r="P294" s="35"/>
      <c r="Q294" s="35"/>
    </row>
    <row r="295">
      <c r="A295" s="8">
        <v>8.0</v>
      </c>
      <c r="B295" s="2">
        <v>9.0</v>
      </c>
      <c r="C295" s="2" t="s">
        <v>1973</v>
      </c>
      <c r="D295" s="2" t="s">
        <v>40</v>
      </c>
      <c r="E295" s="2" t="s">
        <v>19</v>
      </c>
      <c r="F295" s="33" t="s">
        <v>514</v>
      </c>
      <c r="G295" s="33" t="s">
        <v>2435</v>
      </c>
      <c r="H295" s="33"/>
      <c r="I295" s="26" t="s">
        <v>19</v>
      </c>
      <c r="J295" s="26" t="s">
        <v>1551</v>
      </c>
      <c r="K295" s="26" t="s">
        <v>2435</v>
      </c>
      <c r="L295" s="26"/>
      <c r="M295" s="32"/>
      <c r="N295" s="32"/>
      <c r="O295" s="37"/>
      <c r="P295" s="35"/>
      <c r="Q295" s="35"/>
    </row>
    <row r="296">
      <c r="A296" s="8">
        <v>8.0</v>
      </c>
      <c r="B296" s="2">
        <v>9.0</v>
      </c>
      <c r="C296" s="2" t="s">
        <v>1973</v>
      </c>
      <c r="D296" s="2" t="s">
        <v>40</v>
      </c>
      <c r="E296" s="2" t="s">
        <v>8</v>
      </c>
      <c r="F296" s="33" t="s">
        <v>516</v>
      </c>
      <c r="G296" s="33" t="s">
        <v>2436</v>
      </c>
      <c r="H296" s="33"/>
      <c r="I296" s="26" t="s">
        <v>8</v>
      </c>
      <c r="J296" s="26" t="s">
        <v>1549</v>
      </c>
      <c r="K296" s="26" t="s">
        <v>2436</v>
      </c>
      <c r="L296" s="26"/>
      <c r="M296" s="32"/>
      <c r="N296" s="32"/>
      <c r="O296" s="37"/>
      <c r="P296" s="35"/>
      <c r="Q296" s="35"/>
    </row>
    <row r="297">
      <c r="A297" s="43">
        <v>8.0</v>
      </c>
      <c r="B297" s="2">
        <v>9.0</v>
      </c>
      <c r="C297" s="2" t="s">
        <v>1973</v>
      </c>
      <c r="D297" s="2" t="s">
        <v>40</v>
      </c>
      <c r="E297" s="2" t="s">
        <v>19</v>
      </c>
      <c r="F297" s="33" t="s">
        <v>518</v>
      </c>
      <c r="G297" s="33" t="s">
        <v>2437</v>
      </c>
      <c r="H297" s="33"/>
      <c r="I297" s="26" t="s">
        <v>19</v>
      </c>
      <c r="J297" s="26" t="s">
        <v>518</v>
      </c>
      <c r="K297" s="26" t="s">
        <v>2437</v>
      </c>
      <c r="L297" s="26"/>
      <c r="M297" s="32" t="s">
        <v>1979</v>
      </c>
      <c r="N297" s="32" t="s">
        <v>1979</v>
      </c>
      <c r="O297" s="37"/>
      <c r="P297" s="35"/>
      <c r="Q297" s="35"/>
    </row>
    <row r="298">
      <c r="A298" s="8">
        <v>8.0</v>
      </c>
      <c r="B298" s="2">
        <v>9.0</v>
      </c>
      <c r="C298" s="2" t="s">
        <v>1973</v>
      </c>
      <c r="D298" s="2" t="s">
        <v>40</v>
      </c>
      <c r="E298" s="2" t="s">
        <v>19</v>
      </c>
      <c r="F298" s="33" t="s">
        <v>520</v>
      </c>
      <c r="G298" s="33" t="s">
        <v>2438</v>
      </c>
      <c r="H298" s="33"/>
      <c r="I298" s="26" t="s">
        <v>19</v>
      </c>
      <c r="J298" s="26" t="s">
        <v>520</v>
      </c>
      <c r="K298" s="26" t="s">
        <v>521</v>
      </c>
      <c r="L298" s="26"/>
      <c r="M298" s="32" t="s">
        <v>1979</v>
      </c>
      <c r="N298" s="32" t="s">
        <v>1979</v>
      </c>
      <c r="O298" s="37"/>
      <c r="P298" s="35"/>
      <c r="Q298" s="35"/>
    </row>
    <row r="299">
      <c r="A299" s="8">
        <v>8.0</v>
      </c>
      <c r="B299" s="2">
        <v>9.0</v>
      </c>
      <c r="C299" s="2" t="s">
        <v>1973</v>
      </c>
      <c r="D299" s="2" t="s">
        <v>40</v>
      </c>
      <c r="E299" s="2" t="s">
        <v>8</v>
      </c>
      <c r="F299" s="33" t="s">
        <v>2439</v>
      </c>
      <c r="G299" s="33" t="s">
        <v>2439</v>
      </c>
      <c r="H299" s="33"/>
      <c r="I299" s="26" t="s">
        <v>8</v>
      </c>
      <c r="J299" s="26" t="s">
        <v>1546</v>
      </c>
      <c r="K299" s="26" t="s">
        <v>1546</v>
      </c>
      <c r="L299" s="26"/>
      <c r="M299" s="32" t="s">
        <v>1979</v>
      </c>
      <c r="N299" s="32" t="s">
        <v>1979</v>
      </c>
      <c r="O299" s="37"/>
      <c r="P299" s="35"/>
      <c r="Q299" s="35"/>
    </row>
    <row r="300">
      <c r="A300" s="8">
        <v>8.0</v>
      </c>
      <c r="B300" s="2">
        <v>10.0</v>
      </c>
      <c r="C300" s="2" t="s">
        <v>1973</v>
      </c>
      <c r="D300" s="2" t="s">
        <v>28</v>
      </c>
      <c r="E300" s="2" t="s">
        <v>8</v>
      </c>
      <c r="F300" s="33" t="s">
        <v>522</v>
      </c>
      <c r="G300" s="33" t="s">
        <v>2440</v>
      </c>
      <c r="H300" s="33"/>
      <c r="I300" s="26" t="s">
        <v>8</v>
      </c>
      <c r="J300" s="26" t="s">
        <v>1553</v>
      </c>
      <c r="K300" s="26" t="s">
        <v>2441</v>
      </c>
      <c r="L300" s="26"/>
      <c r="M300" s="32"/>
      <c r="N300" s="32"/>
      <c r="O300" s="37"/>
      <c r="P300" s="35"/>
      <c r="Q300" s="35"/>
    </row>
    <row r="301">
      <c r="A301" s="8">
        <v>8.0</v>
      </c>
      <c r="B301" s="2">
        <v>10.0</v>
      </c>
      <c r="C301" s="2" t="s">
        <v>1973</v>
      </c>
      <c r="D301" s="2" t="s">
        <v>28</v>
      </c>
      <c r="E301" s="2" t="s">
        <v>19</v>
      </c>
      <c r="F301" s="33" t="s">
        <v>524</v>
      </c>
      <c r="G301" s="33" t="s">
        <v>2442</v>
      </c>
      <c r="H301" s="33"/>
      <c r="I301" s="26" t="s">
        <v>19</v>
      </c>
      <c r="J301" s="26" t="s">
        <v>524</v>
      </c>
      <c r="K301" s="26" t="s">
        <v>2443</v>
      </c>
      <c r="L301" s="26"/>
      <c r="M301" s="32" t="s">
        <v>2106</v>
      </c>
      <c r="N301" s="32" t="s">
        <v>2106</v>
      </c>
      <c r="O301" s="37"/>
      <c r="P301" s="35"/>
      <c r="Q301" s="35"/>
    </row>
    <row r="302">
      <c r="A302" s="8">
        <v>8.0</v>
      </c>
      <c r="B302" s="2">
        <v>10.0</v>
      </c>
      <c r="C302" s="2" t="s">
        <v>1973</v>
      </c>
      <c r="D302" s="2" t="s">
        <v>28</v>
      </c>
      <c r="E302" s="2" t="s">
        <v>8</v>
      </c>
      <c r="F302" s="33" t="s">
        <v>526</v>
      </c>
      <c r="G302" s="33" t="s">
        <v>2444</v>
      </c>
      <c r="H302" s="33"/>
      <c r="I302" s="26" t="s">
        <v>8</v>
      </c>
      <c r="J302" s="26" t="s">
        <v>1559</v>
      </c>
      <c r="K302" s="26" t="s">
        <v>2445</v>
      </c>
      <c r="L302" s="26"/>
      <c r="M302" s="32"/>
      <c r="N302" s="32"/>
      <c r="O302" s="37"/>
      <c r="P302" s="35"/>
      <c r="Q302" s="35"/>
    </row>
    <row r="303">
      <c r="A303" s="8">
        <v>8.0</v>
      </c>
      <c r="B303" s="2">
        <v>10.0</v>
      </c>
      <c r="C303" s="2" t="s">
        <v>1973</v>
      </c>
      <c r="D303" s="2" t="s">
        <v>28</v>
      </c>
      <c r="E303" s="2" t="s">
        <v>19</v>
      </c>
      <c r="F303" s="33" t="s">
        <v>528</v>
      </c>
      <c r="G303" s="33" t="s">
        <v>2446</v>
      </c>
      <c r="H303" s="33"/>
      <c r="I303" s="26" t="s">
        <v>19</v>
      </c>
      <c r="J303" s="26" t="s">
        <v>528</v>
      </c>
      <c r="K303" s="26" t="s">
        <v>2446</v>
      </c>
      <c r="L303" s="26"/>
      <c r="M303" s="32"/>
      <c r="N303" s="32"/>
      <c r="O303" s="37"/>
      <c r="P303" s="35"/>
      <c r="Q303" s="35"/>
    </row>
    <row r="304">
      <c r="A304" s="8">
        <v>8.0</v>
      </c>
      <c r="B304" s="2">
        <v>10.0</v>
      </c>
      <c r="C304" s="2" t="s">
        <v>1973</v>
      </c>
      <c r="D304" s="2" t="s">
        <v>28</v>
      </c>
      <c r="E304" s="2" t="s">
        <v>19</v>
      </c>
      <c r="F304" s="33" t="s">
        <v>1555</v>
      </c>
      <c r="G304" s="33" t="s">
        <v>2447</v>
      </c>
      <c r="H304" s="33"/>
      <c r="I304" s="26" t="s">
        <v>19</v>
      </c>
      <c r="J304" s="26" t="s">
        <v>1555</v>
      </c>
      <c r="K304" s="26" t="s">
        <v>2447</v>
      </c>
      <c r="L304" s="26"/>
      <c r="M304" s="32" t="s">
        <v>1979</v>
      </c>
      <c r="N304" s="32" t="s">
        <v>1979</v>
      </c>
      <c r="O304" s="37"/>
      <c r="P304" s="35"/>
      <c r="Q304" s="35"/>
    </row>
    <row r="305">
      <c r="A305" s="8">
        <v>8.0</v>
      </c>
      <c r="B305" s="2">
        <v>10.0</v>
      </c>
      <c r="C305" s="2" t="s">
        <v>1973</v>
      </c>
      <c r="D305" s="2" t="s">
        <v>28</v>
      </c>
      <c r="E305" s="2" t="s">
        <v>8</v>
      </c>
      <c r="F305" s="33" t="s">
        <v>1557</v>
      </c>
      <c r="G305" s="33" t="s">
        <v>2448</v>
      </c>
      <c r="H305" s="33"/>
      <c r="I305" s="26" t="s">
        <v>8</v>
      </c>
      <c r="J305" s="26" t="s">
        <v>1557</v>
      </c>
      <c r="K305" s="26" t="s">
        <v>2449</v>
      </c>
      <c r="L305" s="26"/>
      <c r="M305" s="32" t="s">
        <v>1979</v>
      </c>
      <c r="N305" s="32" t="s">
        <v>1979</v>
      </c>
      <c r="O305" s="37"/>
      <c r="P305" s="35"/>
      <c r="Q305" s="35"/>
    </row>
    <row r="306">
      <c r="A306" s="8">
        <v>8.0</v>
      </c>
      <c r="B306" s="2">
        <v>10.0</v>
      </c>
      <c r="C306" s="2" t="s">
        <v>1973</v>
      </c>
      <c r="D306" s="2" t="s">
        <v>28</v>
      </c>
      <c r="E306" s="2" t="s">
        <v>8</v>
      </c>
      <c r="F306" s="33" t="s">
        <v>1562</v>
      </c>
      <c r="G306" s="33" t="s">
        <v>2450</v>
      </c>
      <c r="H306" s="33"/>
      <c r="I306" s="26" t="s">
        <v>8</v>
      </c>
      <c r="J306" s="26" t="s">
        <v>1562</v>
      </c>
      <c r="K306" s="26" t="s">
        <v>1563</v>
      </c>
      <c r="L306" s="26"/>
      <c r="M306" s="32" t="s">
        <v>1979</v>
      </c>
      <c r="N306" s="32" t="s">
        <v>1979</v>
      </c>
      <c r="O306" s="37"/>
      <c r="P306" s="35"/>
      <c r="Q306" s="35"/>
    </row>
    <row r="307">
      <c r="A307" s="8">
        <v>8.0</v>
      </c>
      <c r="B307" s="2">
        <v>11.0</v>
      </c>
      <c r="C307" s="2" t="s">
        <v>1967</v>
      </c>
      <c r="D307" s="2" t="s">
        <v>47</v>
      </c>
      <c r="E307" s="2" t="s">
        <v>19</v>
      </c>
      <c r="F307" s="33" t="s">
        <v>532</v>
      </c>
      <c r="G307" s="33" t="s">
        <v>2451</v>
      </c>
      <c r="H307" s="33"/>
      <c r="I307" s="26" t="s">
        <v>19</v>
      </c>
      <c r="J307" s="26" t="s">
        <v>532</v>
      </c>
      <c r="K307" s="26" t="s">
        <v>533</v>
      </c>
      <c r="L307" s="26"/>
      <c r="M307" s="32" t="s">
        <v>1979</v>
      </c>
      <c r="N307" s="32" t="s">
        <v>1979</v>
      </c>
      <c r="O307" s="37"/>
      <c r="P307" s="35"/>
      <c r="Q307" s="35"/>
    </row>
    <row r="308">
      <c r="A308" s="8">
        <v>8.0</v>
      </c>
      <c r="B308" s="2">
        <v>11.0</v>
      </c>
      <c r="C308" s="2" t="s">
        <v>1967</v>
      </c>
      <c r="D308" s="2" t="s">
        <v>47</v>
      </c>
      <c r="E308" s="2" t="s">
        <v>8</v>
      </c>
      <c r="F308" s="33" t="s">
        <v>1088</v>
      </c>
      <c r="G308" s="33" t="s">
        <v>2452</v>
      </c>
      <c r="H308" s="33"/>
      <c r="I308" s="26" t="s">
        <v>8</v>
      </c>
      <c r="J308" s="26" t="s">
        <v>1088</v>
      </c>
      <c r="K308" s="26" t="s">
        <v>2452</v>
      </c>
      <c r="L308" s="26"/>
      <c r="M308" s="32"/>
      <c r="N308" s="32"/>
      <c r="O308" s="37"/>
      <c r="P308" s="35"/>
      <c r="Q308" s="35"/>
    </row>
    <row r="309">
      <c r="A309" s="22">
        <v>8.0</v>
      </c>
      <c r="B309" s="22">
        <v>12.0</v>
      </c>
      <c r="C309" s="2" t="s">
        <v>1971</v>
      </c>
      <c r="D309" s="2" t="s">
        <v>47</v>
      </c>
      <c r="E309" s="2" t="s">
        <v>8</v>
      </c>
      <c r="F309" s="33" t="s">
        <v>1564</v>
      </c>
      <c r="G309" s="33" t="s">
        <v>1565</v>
      </c>
      <c r="H309" s="33"/>
      <c r="I309" s="26" t="s">
        <v>8</v>
      </c>
      <c r="J309" s="26" t="s">
        <v>1564</v>
      </c>
      <c r="K309" s="26" t="s">
        <v>1565</v>
      </c>
      <c r="L309" s="26"/>
      <c r="M309" s="32"/>
      <c r="N309" s="32"/>
      <c r="O309" s="37"/>
      <c r="P309" s="35"/>
      <c r="Q309" s="35"/>
    </row>
    <row r="310">
      <c r="A310" s="8">
        <v>8.0</v>
      </c>
      <c r="B310" s="2">
        <v>13.0</v>
      </c>
      <c r="C310" s="2" t="s">
        <v>1973</v>
      </c>
      <c r="D310" s="2" t="s">
        <v>72</v>
      </c>
      <c r="E310" s="2" t="s">
        <v>19</v>
      </c>
      <c r="F310" s="33" t="s">
        <v>534</v>
      </c>
      <c r="G310" s="33" t="s">
        <v>2453</v>
      </c>
      <c r="H310" s="33"/>
      <c r="I310" s="26" t="s">
        <v>19</v>
      </c>
      <c r="J310" s="26" t="s">
        <v>534</v>
      </c>
      <c r="K310" s="26" t="s">
        <v>535</v>
      </c>
      <c r="L310" s="26"/>
      <c r="M310" s="32" t="s">
        <v>1979</v>
      </c>
      <c r="N310" s="32" t="s">
        <v>1979</v>
      </c>
      <c r="O310" s="37"/>
      <c r="P310" s="35"/>
      <c r="Q310" s="35"/>
    </row>
    <row r="311">
      <c r="A311" s="8">
        <v>8.0</v>
      </c>
      <c r="B311" s="2">
        <v>13.0</v>
      </c>
      <c r="C311" s="2" t="s">
        <v>1973</v>
      </c>
      <c r="D311" s="2" t="s">
        <v>72</v>
      </c>
      <c r="E311" s="2" t="s">
        <v>8</v>
      </c>
      <c r="F311" s="33" t="s">
        <v>536</v>
      </c>
      <c r="G311" s="33" t="s">
        <v>2454</v>
      </c>
      <c r="H311" s="33"/>
      <c r="I311" s="26" t="s">
        <v>8</v>
      </c>
      <c r="J311" s="26" t="s">
        <v>1568</v>
      </c>
      <c r="K311" s="26" t="s">
        <v>2454</v>
      </c>
      <c r="L311" s="26"/>
      <c r="M311" s="32"/>
      <c r="N311" s="32"/>
      <c r="O311" s="37"/>
      <c r="P311" s="35"/>
      <c r="Q311" s="35"/>
    </row>
    <row r="312">
      <c r="A312" s="8">
        <v>8.0</v>
      </c>
      <c r="B312" s="2">
        <v>13.0</v>
      </c>
      <c r="C312" s="2" t="s">
        <v>1973</v>
      </c>
      <c r="D312" s="2" t="s">
        <v>72</v>
      </c>
      <c r="E312" s="2" t="s">
        <v>19</v>
      </c>
      <c r="F312" s="33" t="s">
        <v>538</v>
      </c>
      <c r="G312" s="33" t="s">
        <v>2455</v>
      </c>
      <c r="H312" s="33"/>
      <c r="I312" s="26" t="s">
        <v>19</v>
      </c>
      <c r="J312" s="26" t="s">
        <v>538</v>
      </c>
      <c r="K312" s="26" t="s">
        <v>2455</v>
      </c>
      <c r="L312" s="26"/>
      <c r="M312" s="32"/>
      <c r="N312" s="32"/>
      <c r="O312" s="37"/>
      <c r="P312" s="35"/>
      <c r="Q312" s="35"/>
    </row>
    <row r="313">
      <c r="A313" s="8">
        <v>8.0</v>
      </c>
      <c r="B313" s="2">
        <v>13.0</v>
      </c>
      <c r="C313" s="2" t="s">
        <v>1973</v>
      </c>
      <c r="D313" s="2" t="s">
        <v>72</v>
      </c>
      <c r="E313" s="2" t="s">
        <v>8</v>
      </c>
      <c r="F313" s="33" t="s">
        <v>2456</v>
      </c>
      <c r="G313" s="33" t="s">
        <v>2457</v>
      </c>
      <c r="H313" s="33"/>
      <c r="I313" s="26" t="s">
        <v>8</v>
      </c>
      <c r="J313" s="26" t="s">
        <v>2456</v>
      </c>
      <c r="K313" s="26" t="s">
        <v>2457</v>
      </c>
      <c r="L313" s="26"/>
      <c r="M313" s="32" t="s">
        <v>1979</v>
      </c>
      <c r="N313" s="32" t="s">
        <v>1979</v>
      </c>
      <c r="O313" s="37"/>
      <c r="P313" s="35"/>
      <c r="Q313" s="35"/>
    </row>
    <row r="314">
      <c r="A314" s="8">
        <v>8.0</v>
      </c>
      <c r="B314" s="2">
        <v>14.0</v>
      </c>
      <c r="C314" s="2" t="s">
        <v>1973</v>
      </c>
      <c r="D314" s="2" t="s">
        <v>33</v>
      </c>
      <c r="E314" s="2" t="s">
        <v>19</v>
      </c>
      <c r="F314" s="33" t="s">
        <v>1577</v>
      </c>
      <c r="G314" s="33" t="s">
        <v>1578</v>
      </c>
      <c r="H314" s="33"/>
      <c r="I314" s="26" t="s">
        <v>19</v>
      </c>
      <c r="J314" s="26" t="s">
        <v>1577</v>
      </c>
      <c r="K314" s="26" t="s">
        <v>1578</v>
      </c>
      <c r="L314" s="26"/>
      <c r="M314" s="32"/>
      <c r="N314" s="32"/>
      <c r="O314" s="37"/>
      <c r="P314" s="35"/>
      <c r="Q314" s="35"/>
    </row>
    <row r="315">
      <c r="A315" s="8">
        <v>8.0</v>
      </c>
      <c r="B315" s="2">
        <v>14.0</v>
      </c>
      <c r="C315" s="2" t="s">
        <v>1973</v>
      </c>
      <c r="D315" s="2" t="s">
        <v>33</v>
      </c>
      <c r="E315" s="2" t="s">
        <v>19</v>
      </c>
      <c r="F315" s="33" t="s">
        <v>1575</v>
      </c>
      <c r="G315" s="33" t="s">
        <v>2458</v>
      </c>
      <c r="H315" s="33"/>
      <c r="I315" s="26" t="s">
        <v>19</v>
      </c>
      <c r="J315" s="26" t="s">
        <v>1575</v>
      </c>
      <c r="K315" s="26" t="s">
        <v>2458</v>
      </c>
      <c r="L315" s="26"/>
      <c r="M315" s="32" t="s">
        <v>1979</v>
      </c>
      <c r="N315" s="32" t="s">
        <v>1979</v>
      </c>
      <c r="O315" s="37"/>
      <c r="P315" s="35"/>
      <c r="Q315" s="35"/>
    </row>
    <row r="316">
      <c r="A316" s="8">
        <v>8.0</v>
      </c>
      <c r="B316" s="2">
        <v>14.0</v>
      </c>
      <c r="C316" s="2" t="s">
        <v>1973</v>
      </c>
      <c r="D316" s="2" t="s">
        <v>33</v>
      </c>
      <c r="E316" s="2" t="s">
        <v>19</v>
      </c>
      <c r="F316" s="33" t="s">
        <v>1579</v>
      </c>
      <c r="G316" s="33" t="s">
        <v>2459</v>
      </c>
      <c r="H316" s="33"/>
      <c r="I316" s="26" t="s">
        <v>19</v>
      </c>
      <c r="J316" s="26" t="s">
        <v>1579</v>
      </c>
      <c r="K316" s="26" t="s">
        <v>2459</v>
      </c>
      <c r="L316" s="26"/>
      <c r="M316" s="32" t="s">
        <v>1979</v>
      </c>
      <c r="N316" s="32" t="s">
        <v>1979</v>
      </c>
      <c r="O316" s="37"/>
      <c r="P316" s="35"/>
      <c r="Q316" s="35"/>
    </row>
    <row r="317">
      <c r="A317" s="8">
        <v>8.0</v>
      </c>
      <c r="B317" s="2">
        <v>14.0</v>
      </c>
      <c r="C317" s="2" t="s">
        <v>1973</v>
      </c>
      <c r="D317" s="2" t="s">
        <v>33</v>
      </c>
      <c r="E317" s="2" t="s">
        <v>19</v>
      </c>
      <c r="F317" s="33" t="s">
        <v>1581</v>
      </c>
      <c r="G317" s="33" t="s">
        <v>2460</v>
      </c>
      <c r="H317" s="33"/>
      <c r="I317" s="26" t="s">
        <v>19</v>
      </c>
      <c r="J317" s="26" t="s">
        <v>1581</v>
      </c>
      <c r="K317" s="26" t="s">
        <v>2460</v>
      </c>
      <c r="L317" s="26"/>
      <c r="M317" s="32" t="s">
        <v>1979</v>
      </c>
      <c r="N317" s="32" t="s">
        <v>1979</v>
      </c>
      <c r="O317" s="37"/>
      <c r="P317" s="35"/>
      <c r="Q317" s="35"/>
    </row>
    <row r="318">
      <c r="A318" s="8">
        <v>8.0</v>
      </c>
      <c r="B318" s="2">
        <v>15.0</v>
      </c>
      <c r="C318" s="2" t="s">
        <v>1973</v>
      </c>
      <c r="D318" s="2" t="s">
        <v>33</v>
      </c>
      <c r="E318" s="2" t="s">
        <v>19</v>
      </c>
      <c r="F318" s="33" t="s">
        <v>544</v>
      </c>
      <c r="G318" s="33" t="s">
        <v>2461</v>
      </c>
      <c r="H318" s="33"/>
      <c r="I318" s="26" t="s">
        <v>19</v>
      </c>
      <c r="J318" s="26" t="s">
        <v>544</v>
      </c>
      <c r="K318" s="26" t="s">
        <v>545</v>
      </c>
      <c r="L318" s="26"/>
      <c r="M318" s="32" t="s">
        <v>1979</v>
      </c>
      <c r="N318" s="32" t="s">
        <v>1979</v>
      </c>
      <c r="O318" s="37"/>
      <c r="P318" s="35"/>
      <c r="Q318" s="35"/>
    </row>
    <row r="319">
      <c r="A319" s="8">
        <v>8.0</v>
      </c>
      <c r="B319" s="2">
        <v>15.0</v>
      </c>
      <c r="C319" s="2" t="s">
        <v>1973</v>
      </c>
      <c r="D319" s="2" t="s">
        <v>33</v>
      </c>
      <c r="E319" s="2" t="s">
        <v>19</v>
      </c>
      <c r="F319" s="33" t="s">
        <v>546</v>
      </c>
      <c r="G319" s="33" t="s">
        <v>2462</v>
      </c>
      <c r="H319" s="33"/>
      <c r="I319" s="26" t="s">
        <v>19</v>
      </c>
      <c r="J319" s="26" t="s">
        <v>546</v>
      </c>
      <c r="K319" s="26" t="s">
        <v>2463</v>
      </c>
      <c r="L319" s="26"/>
      <c r="M319" s="32"/>
      <c r="N319" s="32"/>
      <c r="O319" s="37"/>
      <c r="P319" s="35"/>
      <c r="Q319" s="35"/>
    </row>
    <row r="320">
      <c r="A320" s="8">
        <v>8.0</v>
      </c>
      <c r="B320" s="2">
        <v>15.0</v>
      </c>
      <c r="C320" s="2" t="s">
        <v>1973</v>
      </c>
      <c r="D320" s="2" t="s">
        <v>33</v>
      </c>
      <c r="E320" s="2" t="s">
        <v>19</v>
      </c>
      <c r="F320" s="33" t="s">
        <v>1585</v>
      </c>
      <c r="G320" s="33" t="s">
        <v>2464</v>
      </c>
      <c r="H320" s="33"/>
      <c r="I320" s="26" t="s">
        <v>19</v>
      </c>
      <c r="J320" s="26" t="s">
        <v>1585</v>
      </c>
      <c r="K320" s="26" t="s">
        <v>2464</v>
      </c>
      <c r="L320" s="26"/>
      <c r="M320" s="32"/>
      <c r="N320" s="32"/>
      <c r="O320" s="37"/>
      <c r="P320" s="35"/>
      <c r="Q320" s="35"/>
    </row>
    <row r="321">
      <c r="A321" s="8">
        <v>8.0</v>
      </c>
      <c r="B321" s="2">
        <v>16.0</v>
      </c>
      <c r="C321" s="2" t="s">
        <v>1967</v>
      </c>
      <c r="D321" s="2" t="s">
        <v>54</v>
      </c>
      <c r="E321" s="2" t="s">
        <v>8</v>
      </c>
      <c r="F321" s="33" t="s">
        <v>1092</v>
      </c>
      <c r="G321" s="33" t="s">
        <v>2465</v>
      </c>
      <c r="H321" s="33"/>
      <c r="I321" s="26" t="s">
        <v>8</v>
      </c>
      <c r="J321" s="26" t="s">
        <v>1092</v>
      </c>
      <c r="K321" s="26" t="s">
        <v>2465</v>
      </c>
      <c r="L321" s="26"/>
      <c r="M321" s="32"/>
      <c r="N321" s="32"/>
      <c r="O321" s="37"/>
      <c r="P321" s="35"/>
      <c r="Q321" s="35"/>
    </row>
    <row r="322">
      <c r="A322" s="8">
        <v>8.0</v>
      </c>
      <c r="B322" s="2">
        <v>16.0</v>
      </c>
      <c r="C322" s="2" t="s">
        <v>1967</v>
      </c>
      <c r="D322" s="2" t="s">
        <v>54</v>
      </c>
      <c r="E322" s="2" t="s">
        <v>8</v>
      </c>
      <c r="F322" s="33" t="s">
        <v>552</v>
      </c>
      <c r="G322" s="33" t="s">
        <v>2466</v>
      </c>
      <c r="H322" s="33"/>
      <c r="I322" s="26" t="s">
        <v>8</v>
      </c>
      <c r="J322" s="26" t="s">
        <v>552</v>
      </c>
      <c r="K322" s="26" t="s">
        <v>2467</v>
      </c>
      <c r="L322" s="26"/>
      <c r="M322" s="32" t="s">
        <v>1979</v>
      </c>
      <c r="N322" s="32" t="s">
        <v>1979</v>
      </c>
      <c r="O322" s="37"/>
      <c r="P322" s="35"/>
      <c r="Q322" s="35"/>
    </row>
    <row r="323">
      <c r="A323" s="22">
        <v>8.0</v>
      </c>
      <c r="B323" s="22">
        <v>17.0</v>
      </c>
      <c r="C323" s="2" t="s">
        <v>1971</v>
      </c>
      <c r="D323" s="12" t="s">
        <v>176</v>
      </c>
      <c r="E323" s="2" t="s">
        <v>8</v>
      </c>
      <c r="F323" s="33" t="s">
        <v>1094</v>
      </c>
      <c r="G323" s="33" t="s">
        <v>2468</v>
      </c>
      <c r="H323" s="33"/>
      <c r="I323" s="26" t="s">
        <v>8</v>
      </c>
      <c r="J323" s="26" t="s">
        <v>1587</v>
      </c>
      <c r="K323" s="26" t="s">
        <v>2468</v>
      </c>
      <c r="L323" s="26"/>
      <c r="M323" s="32"/>
      <c r="N323" s="32"/>
      <c r="O323" s="37"/>
      <c r="P323" s="35"/>
      <c r="Q323" s="35"/>
    </row>
    <row r="324">
      <c r="A324" s="8">
        <v>9.0</v>
      </c>
      <c r="B324" s="2">
        <v>1.0</v>
      </c>
      <c r="C324" s="2" t="s">
        <v>1967</v>
      </c>
      <c r="D324" s="2" t="s">
        <v>7</v>
      </c>
      <c r="E324" s="2" t="s">
        <v>8</v>
      </c>
      <c r="F324" s="33" t="s">
        <v>554</v>
      </c>
      <c r="G324" s="33" t="s">
        <v>2469</v>
      </c>
      <c r="H324" s="33"/>
      <c r="I324" s="26" t="s">
        <v>8</v>
      </c>
      <c r="J324" s="26" t="s">
        <v>1095</v>
      </c>
      <c r="K324" s="26" t="s">
        <v>1096</v>
      </c>
      <c r="L324" s="26"/>
      <c r="M324" s="32"/>
      <c r="N324" s="32"/>
      <c r="O324" s="37"/>
      <c r="P324" s="35"/>
      <c r="Q324" s="35"/>
    </row>
    <row r="325">
      <c r="A325" s="22">
        <v>9.0</v>
      </c>
      <c r="B325" s="22">
        <v>2.0</v>
      </c>
      <c r="C325" s="2" t="s">
        <v>1971</v>
      </c>
      <c r="D325" s="2" t="s">
        <v>7</v>
      </c>
      <c r="E325" s="2" t="s">
        <v>8</v>
      </c>
      <c r="F325" s="33" t="s">
        <v>1589</v>
      </c>
      <c r="G325" s="33" t="s">
        <v>2470</v>
      </c>
      <c r="H325" s="33"/>
      <c r="I325" s="26" t="s">
        <v>8</v>
      </c>
      <c r="J325" s="26" t="s">
        <v>1589</v>
      </c>
      <c r="K325" s="26" t="s">
        <v>2470</v>
      </c>
      <c r="L325" s="26"/>
      <c r="M325" s="32" t="s">
        <v>1979</v>
      </c>
      <c r="N325" s="32" t="s">
        <v>1979</v>
      </c>
      <c r="O325" s="37"/>
      <c r="P325" s="35"/>
      <c r="Q325" s="35"/>
    </row>
    <row r="326">
      <c r="A326" s="8">
        <v>9.0</v>
      </c>
      <c r="B326" s="2">
        <v>3.0</v>
      </c>
      <c r="C326" s="2" t="s">
        <v>1973</v>
      </c>
      <c r="D326" s="2" t="s">
        <v>7</v>
      </c>
      <c r="E326" s="2" t="s">
        <v>8</v>
      </c>
      <c r="F326" s="33" t="s">
        <v>556</v>
      </c>
      <c r="G326" s="33" t="s">
        <v>2471</v>
      </c>
      <c r="H326" s="33"/>
      <c r="I326" s="26" t="s">
        <v>8</v>
      </c>
      <c r="J326" s="26" t="s">
        <v>556</v>
      </c>
      <c r="K326" s="26" t="s">
        <v>2471</v>
      </c>
      <c r="L326" s="26"/>
      <c r="M326" s="32"/>
      <c r="N326" s="32"/>
      <c r="O326" s="37"/>
      <c r="P326" s="35"/>
      <c r="Q326" s="35"/>
    </row>
    <row r="327">
      <c r="A327" s="8">
        <v>9.0</v>
      </c>
      <c r="B327" s="2">
        <v>3.0</v>
      </c>
      <c r="C327" s="2" t="s">
        <v>1973</v>
      </c>
      <c r="D327" s="2" t="s">
        <v>7</v>
      </c>
      <c r="E327" s="2" t="s">
        <v>19</v>
      </c>
      <c r="F327" s="33" t="s">
        <v>558</v>
      </c>
      <c r="G327" s="33" t="s">
        <v>2472</v>
      </c>
      <c r="H327" s="33"/>
      <c r="I327" s="26" t="s">
        <v>19</v>
      </c>
      <c r="J327" s="26" t="s">
        <v>558</v>
      </c>
      <c r="K327" s="26" t="s">
        <v>2473</v>
      </c>
      <c r="L327" s="26"/>
      <c r="M327" s="32" t="s">
        <v>1979</v>
      </c>
      <c r="N327" s="32" t="s">
        <v>1979</v>
      </c>
      <c r="O327" s="37"/>
      <c r="P327" s="35"/>
      <c r="Q327" s="35"/>
    </row>
    <row r="328">
      <c r="A328" s="8">
        <v>9.0</v>
      </c>
      <c r="B328" s="2">
        <v>3.0</v>
      </c>
      <c r="C328" s="2" t="s">
        <v>1973</v>
      </c>
      <c r="D328" s="2" t="s">
        <v>7</v>
      </c>
      <c r="E328" s="2" t="s">
        <v>8</v>
      </c>
      <c r="F328" s="33" t="s">
        <v>560</v>
      </c>
      <c r="G328" s="33" t="s">
        <v>2474</v>
      </c>
      <c r="H328" s="33"/>
      <c r="I328" s="26" t="s">
        <v>8</v>
      </c>
      <c r="J328" s="26" t="s">
        <v>560</v>
      </c>
      <c r="K328" s="26" t="s">
        <v>2475</v>
      </c>
      <c r="L328" s="26"/>
      <c r="M328" s="32" t="s">
        <v>1979</v>
      </c>
      <c r="N328" s="32" t="s">
        <v>1979</v>
      </c>
      <c r="O328" s="37"/>
      <c r="P328" s="35"/>
      <c r="Q328" s="35"/>
    </row>
    <row r="329">
      <c r="A329" s="8">
        <v>9.0</v>
      </c>
      <c r="B329" s="2">
        <v>4.0</v>
      </c>
      <c r="C329" s="2" t="s">
        <v>1973</v>
      </c>
      <c r="D329" s="2" t="s">
        <v>7</v>
      </c>
      <c r="E329" s="2" t="s">
        <v>8</v>
      </c>
      <c r="F329" s="33" t="s">
        <v>2476</v>
      </c>
      <c r="G329" s="33" t="s">
        <v>2477</v>
      </c>
      <c r="H329" s="33"/>
      <c r="I329" s="26" t="s">
        <v>8</v>
      </c>
      <c r="J329" s="26" t="s">
        <v>2476</v>
      </c>
      <c r="K329" s="26" t="s">
        <v>563</v>
      </c>
      <c r="L329" s="26"/>
      <c r="M329" s="32" t="s">
        <v>1979</v>
      </c>
      <c r="N329" s="32" t="s">
        <v>1979</v>
      </c>
      <c r="O329" s="37"/>
      <c r="P329" s="35"/>
      <c r="Q329" s="35"/>
    </row>
    <row r="330">
      <c r="A330" s="8">
        <v>9.0</v>
      </c>
      <c r="B330" s="2">
        <v>4.0</v>
      </c>
      <c r="C330" s="2" t="s">
        <v>1973</v>
      </c>
      <c r="D330" s="2" t="s">
        <v>7</v>
      </c>
      <c r="E330" s="2" t="s">
        <v>8</v>
      </c>
      <c r="F330" s="33" t="s">
        <v>1593</v>
      </c>
      <c r="G330" s="33" t="s">
        <v>2478</v>
      </c>
      <c r="H330" s="33"/>
      <c r="I330" s="26" t="s">
        <v>8</v>
      </c>
      <c r="J330" s="26" t="s">
        <v>1593</v>
      </c>
      <c r="K330" s="26" t="s">
        <v>2479</v>
      </c>
      <c r="L330" s="26"/>
      <c r="M330" s="32" t="s">
        <v>1979</v>
      </c>
      <c r="N330" s="32" t="s">
        <v>1979</v>
      </c>
      <c r="O330" s="37"/>
      <c r="P330" s="35"/>
      <c r="Q330" s="35"/>
    </row>
    <row r="331">
      <c r="A331" s="8">
        <v>9.0</v>
      </c>
      <c r="B331" s="2">
        <v>4.0</v>
      </c>
      <c r="C331" s="2" t="s">
        <v>1973</v>
      </c>
      <c r="D331" s="2" t="s">
        <v>7</v>
      </c>
      <c r="E331" s="2" t="s">
        <v>8</v>
      </c>
      <c r="F331" s="33" t="s">
        <v>1595</v>
      </c>
      <c r="G331" s="33" t="s">
        <v>2480</v>
      </c>
      <c r="H331" s="33"/>
      <c r="I331" s="26" t="s">
        <v>8</v>
      </c>
      <c r="J331" s="26" t="s">
        <v>1595</v>
      </c>
      <c r="K331" s="26" t="s">
        <v>1596</v>
      </c>
      <c r="L331" s="26"/>
      <c r="M331" s="32"/>
      <c r="N331" s="32"/>
      <c r="O331" s="37"/>
      <c r="P331" s="35"/>
      <c r="Q331" s="35"/>
    </row>
    <row r="332">
      <c r="A332" s="8">
        <v>9.0</v>
      </c>
      <c r="B332" s="2">
        <v>5.0</v>
      </c>
      <c r="C332" s="2" t="s">
        <v>1973</v>
      </c>
      <c r="D332" s="2" t="s">
        <v>7</v>
      </c>
      <c r="E332" s="2" t="s">
        <v>8</v>
      </c>
      <c r="F332" s="33" t="s">
        <v>2481</v>
      </c>
      <c r="G332" s="33" t="s">
        <v>2482</v>
      </c>
      <c r="H332" s="33"/>
      <c r="I332" s="26" t="s">
        <v>8</v>
      </c>
      <c r="J332" s="26" t="s">
        <v>2481</v>
      </c>
      <c r="K332" s="26" t="s">
        <v>2483</v>
      </c>
      <c r="L332" s="26"/>
      <c r="M332" s="32"/>
      <c r="N332" s="32"/>
      <c r="O332" s="37"/>
      <c r="P332" s="35"/>
      <c r="Q332" s="35"/>
    </row>
    <row r="333">
      <c r="A333" s="8">
        <v>9.0</v>
      </c>
      <c r="B333" s="2">
        <v>5.0</v>
      </c>
      <c r="C333" s="2" t="s">
        <v>1973</v>
      </c>
      <c r="D333" s="2" t="s">
        <v>7</v>
      </c>
      <c r="E333" s="2" t="s">
        <v>19</v>
      </c>
      <c r="F333" s="33" t="s">
        <v>568</v>
      </c>
      <c r="G333" s="33" t="s">
        <v>2484</v>
      </c>
      <c r="H333" s="33"/>
      <c r="I333" s="26" t="s">
        <v>19</v>
      </c>
      <c r="J333" s="26" t="s">
        <v>568</v>
      </c>
      <c r="K333" s="26" t="s">
        <v>2484</v>
      </c>
      <c r="L333" s="26"/>
      <c r="M333" s="32"/>
      <c r="N333" s="32"/>
      <c r="O333" s="37"/>
      <c r="P333" s="35"/>
      <c r="Q333" s="35"/>
    </row>
    <row r="334">
      <c r="A334" s="22">
        <v>9.0</v>
      </c>
      <c r="B334" s="22">
        <v>7.0</v>
      </c>
      <c r="C334" s="2" t="s">
        <v>1971</v>
      </c>
      <c r="D334" s="12" t="s">
        <v>59</v>
      </c>
      <c r="E334" s="2" t="s">
        <v>8</v>
      </c>
      <c r="F334" s="33" t="s">
        <v>1601</v>
      </c>
      <c r="G334" s="33" t="s">
        <v>2485</v>
      </c>
      <c r="H334" s="33"/>
      <c r="I334" s="26" t="s">
        <v>8</v>
      </c>
      <c r="J334" s="26" t="s">
        <v>1601</v>
      </c>
      <c r="K334" s="26" t="s">
        <v>2485</v>
      </c>
      <c r="L334" s="26"/>
      <c r="M334" s="32"/>
      <c r="N334" s="32"/>
      <c r="O334" s="37"/>
      <c r="P334" s="35"/>
      <c r="Q334" s="35"/>
    </row>
    <row r="335">
      <c r="A335" s="22">
        <v>9.0</v>
      </c>
      <c r="B335" s="22">
        <v>7.0</v>
      </c>
      <c r="C335" s="2" t="s">
        <v>1971</v>
      </c>
      <c r="D335" s="12" t="s">
        <v>59</v>
      </c>
      <c r="E335" s="2" t="s">
        <v>19</v>
      </c>
      <c r="F335" s="33" t="s">
        <v>1603</v>
      </c>
      <c r="G335" s="33" t="s">
        <v>1604</v>
      </c>
      <c r="H335" s="33"/>
      <c r="I335" s="26" t="s">
        <v>19</v>
      </c>
      <c r="J335" s="26" t="s">
        <v>1603</v>
      </c>
      <c r="K335" s="26" t="s">
        <v>1604</v>
      </c>
      <c r="L335" s="26"/>
      <c r="M335" s="32"/>
      <c r="N335" s="32"/>
      <c r="O335" s="37"/>
      <c r="P335" s="35"/>
      <c r="Q335" s="35"/>
    </row>
    <row r="336">
      <c r="A336" s="8">
        <v>9.0</v>
      </c>
      <c r="B336" s="2">
        <v>8.0</v>
      </c>
      <c r="C336" s="2" t="s">
        <v>1973</v>
      </c>
      <c r="D336" s="12" t="s">
        <v>59</v>
      </c>
      <c r="E336" s="2" t="s">
        <v>8</v>
      </c>
      <c r="F336" s="33" t="s">
        <v>570</v>
      </c>
      <c r="G336" s="33" t="s">
        <v>2486</v>
      </c>
      <c r="H336" s="33"/>
      <c r="I336" s="26" t="s">
        <v>8</v>
      </c>
      <c r="J336" s="26" t="s">
        <v>1605</v>
      </c>
      <c r="K336" s="26" t="s">
        <v>2486</v>
      </c>
      <c r="L336" s="26"/>
      <c r="M336" s="32"/>
      <c r="N336" s="32"/>
      <c r="O336" s="37"/>
      <c r="P336" s="35"/>
      <c r="Q336" s="35"/>
    </row>
    <row r="337">
      <c r="A337" s="8">
        <v>9.0</v>
      </c>
      <c r="B337" s="2">
        <v>8.0</v>
      </c>
      <c r="C337" s="2" t="s">
        <v>1973</v>
      </c>
      <c r="D337" s="12" t="s">
        <v>59</v>
      </c>
      <c r="E337" s="2" t="s">
        <v>19</v>
      </c>
      <c r="F337" s="33" t="s">
        <v>2487</v>
      </c>
      <c r="G337" s="33" t="s">
        <v>2488</v>
      </c>
      <c r="H337" s="33"/>
      <c r="I337" s="26" t="s">
        <v>19</v>
      </c>
      <c r="J337" s="26" t="s">
        <v>2487</v>
      </c>
      <c r="K337" s="26" t="s">
        <v>2488</v>
      </c>
      <c r="L337" s="26"/>
      <c r="M337" s="32"/>
      <c r="N337" s="32"/>
      <c r="O337" s="37"/>
      <c r="P337" s="35"/>
      <c r="Q337" s="35"/>
    </row>
    <row r="338">
      <c r="A338" s="8">
        <v>9.0</v>
      </c>
      <c r="B338" s="2">
        <v>9.0</v>
      </c>
      <c r="C338" s="2" t="s">
        <v>1973</v>
      </c>
      <c r="D338" s="2" t="s">
        <v>40</v>
      </c>
      <c r="E338" s="2" t="s">
        <v>8</v>
      </c>
      <c r="F338" s="33" t="s">
        <v>1609</v>
      </c>
      <c r="G338" s="33" t="s">
        <v>2489</v>
      </c>
      <c r="H338" s="33"/>
      <c r="I338" s="26" t="s">
        <v>8</v>
      </c>
      <c r="J338" s="26" t="s">
        <v>1609</v>
      </c>
      <c r="K338" s="26" t="s">
        <v>2489</v>
      </c>
      <c r="L338" s="26"/>
      <c r="M338" s="32"/>
      <c r="N338" s="32"/>
      <c r="O338" s="37"/>
      <c r="P338" s="35"/>
      <c r="Q338" s="35"/>
    </row>
    <row r="339">
      <c r="A339" s="8">
        <v>9.0</v>
      </c>
      <c r="B339" s="2">
        <v>9.0</v>
      </c>
      <c r="C339" s="2" t="s">
        <v>1973</v>
      </c>
      <c r="D339" s="2" t="s">
        <v>40</v>
      </c>
      <c r="E339" s="2" t="s">
        <v>19</v>
      </c>
      <c r="F339" s="33" t="s">
        <v>1610</v>
      </c>
      <c r="G339" s="33" t="s">
        <v>1611</v>
      </c>
      <c r="H339" s="33"/>
      <c r="I339" s="26" t="s">
        <v>19</v>
      </c>
      <c r="J339" s="26" t="s">
        <v>1610</v>
      </c>
      <c r="K339" s="26" t="s">
        <v>1611</v>
      </c>
      <c r="L339" s="26"/>
      <c r="M339" s="32" t="s">
        <v>1979</v>
      </c>
      <c r="N339" s="32" t="s">
        <v>1979</v>
      </c>
      <c r="O339" s="37"/>
      <c r="P339" s="35"/>
      <c r="Q339" s="35"/>
    </row>
    <row r="340">
      <c r="A340" s="8">
        <v>9.0</v>
      </c>
      <c r="B340" s="2">
        <v>9.0</v>
      </c>
      <c r="C340" s="2" t="s">
        <v>1973</v>
      </c>
      <c r="D340" s="2" t="s">
        <v>40</v>
      </c>
      <c r="E340" s="2" t="s">
        <v>19</v>
      </c>
      <c r="F340" s="33" t="s">
        <v>1612</v>
      </c>
      <c r="G340" s="33" t="s">
        <v>2490</v>
      </c>
      <c r="H340" s="33"/>
      <c r="I340" s="26" t="s">
        <v>19</v>
      </c>
      <c r="J340" s="26" t="s">
        <v>1612</v>
      </c>
      <c r="K340" s="26" t="s">
        <v>2490</v>
      </c>
      <c r="L340" s="26"/>
      <c r="M340" s="32"/>
      <c r="N340" s="32"/>
      <c r="O340" s="37"/>
      <c r="P340" s="35"/>
      <c r="Q340" s="35"/>
    </row>
    <row r="341">
      <c r="A341" s="8">
        <v>9.0</v>
      </c>
      <c r="B341" s="2">
        <v>9.0</v>
      </c>
      <c r="C341" s="2" t="s">
        <v>1973</v>
      </c>
      <c r="D341" s="2" t="s">
        <v>40</v>
      </c>
      <c r="E341" s="2" t="s">
        <v>19</v>
      </c>
      <c r="F341" s="33" t="s">
        <v>578</v>
      </c>
      <c r="G341" s="33" t="s">
        <v>2491</v>
      </c>
      <c r="H341" s="33"/>
      <c r="I341" s="26" t="s">
        <v>19</v>
      </c>
      <c r="J341" s="26" t="s">
        <v>578</v>
      </c>
      <c r="K341" s="26" t="s">
        <v>2492</v>
      </c>
      <c r="L341" s="26"/>
      <c r="M341" s="32" t="s">
        <v>1979</v>
      </c>
      <c r="N341" s="32" t="s">
        <v>1979</v>
      </c>
      <c r="O341" s="37"/>
      <c r="P341" s="35"/>
      <c r="Q341" s="35"/>
    </row>
    <row r="342">
      <c r="A342" s="8">
        <v>9.0</v>
      </c>
      <c r="B342" s="2">
        <v>10.0</v>
      </c>
      <c r="C342" s="2" t="s">
        <v>1973</v>
      </c>
      <c r="D342" s="2" t="s">
        <v>40</v>
      </c>
      <c r="E342" s="2" t="s">
        <v>19</v>
      </c>
      <c r="F342" s="33" t="s">
        <v>580</v>
      </c>
      <c r="G342" s="33" t="s">
        <v>2493</v>
      </c>
      <c r="H342" s="33"/>
      <c r="I342" s="26" t="s">
        <v>19</v>
      </c>
      <c r="J342" s="26" t="s">
        <v>580</v>
      </c>
      <c r="K342" s="26" t="s">
        <v>2493</v>
      </c>
      <c r="L342" s="26"/>
      <c r="M342" s="32" t="s">
        <v>1979</v>
      </c>
      <c r="N342" s="32" t="s">
        <v>1979</v>
      </c>
      <c r="O342" s="37"/>
      <c r="P342" s="32"/>
      <c r="Q342" s="35"/>
    </row>
    <row r="343">
      <c r="A343" s="8">
        <v>9.0</v>
      </c>
      <c r="B343" s="2">
        <v>10.0</v>
      </c>
      <c r="C343" s="2" t="s">
        <v>1973</v>
      </c>
      <c r="D343" s="2" t="s">
        <v>40</v>
      </c>
      <c r="E343" s="2" t="s">
        <v>19</v>
      </c>
      <c r="F343" s="33" t="s">
        <v>582</v>
      </c>
      <c r="G343" s="33" t="s">
        <v>2494</v>
      </c>
      <c r="H343" s="33"/>
      <c r="I343" s="26" t="s">
        <v>19</v>
      </c>
      <c r="J343" s="26" t="s">
        <v>1616</v>
      </c>
      <c r="K343" s="26" t="s">
        <v>2494</v>
      </c>
      <c r="L343" s="26"/>
      <c r="M343" s="32"/>
      <c r="N343" s="32"/>
      <c r="O343" s="37"/>
      <c r="P343" s="35"/>
      <c r="Q343" s="35"/>
    </row>
    <row r="344">
      <c r="A344" s="8">
        <v>9.0</v>
      </c>
      <c r="B344" s="2">
        <v>10.0</v>
      </c>
      <c r="C344" s="2" t="s">
        <v>1973</v>
      </c>
      <c r="D344" s="2" t="s">
        <v>40</v>
      </c>
      <c r="E344" s="2" t="s">
        <v>19</v>
      </c>
      <c r="F344" s="33" t="s">
        <v>584</v>
      </c>
      <c r="G344" s="33" t="s">
        <v>2495</v>
      </c>
      <c r="H344" s="33"/>
      <c r="I344" s="26" t="s">
        <v>19</v>
      </c>
      <c r="J344" s="26" t="s">
        <v>1614</v>
      </c>
      <c r="K344" s="26" t="s">
        <v>2495</v>
      </c>
      <c r="L344" s="26"/>
      <c r="M344" s="32"/>
      <c r="N344" s="32"/>
      <c r="O344" s="37"/>
      <c r="P344" s="35"/>
      <c r="Q344" s="35"/>
    </row>
    <row r="345">
      <c r="A345" s="8">
        <v>9.0</v>
      </c>
      <c r="B345" s="2">
        <v>11.0</v>
      </c>
      <c r="C345" s="2" t="s">
        <v>1967</v>
      </c>
      <c r="D345" s="2" t="s">
        <v>40</v>
      </c>
      <c r="E345" s="2" t="s">
        <v>19</v>
      </c>
      <c r="F345" s="33" t="s">
        <v>586</v>
      </c>
      <c r="G345" s="33" t="s">
        <v>2496</v>
      </c>
      <c r="H345" s="33"/>
      <c r="I345" s="26"/>
      <c r="J345" s="26"/>
      <c r="K345" s="26"/>
      <c r="L345" s="26"/>
      <c r="M345" s="32" t="s">
        <v>1979</v>
      </c>
      <c r="N345" s="32"/>
      <c r="O345" s="37" t="s">
        <v>1982</v>
      </c>
      <c r="P345" s="35"/>
      <c r="Q345" s="35"/>
    </row>
    <row r="346">
      <c r="A346" s="8">
        <v>9.0</v>
      </c>
      <c r="B346" s="2">
        <v>11.0</v>
      </c>
      <c r="C346" s="2" t="s">
        <v>1967</v>
      </c>
      <c r="D346" s="2" t="s">
        <v>40</v>
      </c>
      <c r="E346" s="2" t="s">
        <v>19</v>
      </c>
      <c r="F346" s="33" t="s">
        <v>588</v>
      </c>
      <c r="G346" s="33" t="s">
        <v>2497</v>
      </c>
      <c r="H346" s="33"/>
      <c r="I346" s="26" t="s">
        <v>19</v>
      </c>
      <c r="J346" s="26" t="s">
        <v>588</v>
      </c>
      <c r="K346" s="26" t="s">
        <v>589</v>
      </c>
      <c r="L346" s="26"/>
      <c r="M346" s="32" t="s">
        <v>1979</v>
      </c>
      <c r="N346" s="32" t="s">
        <v>1979</v>
      </c>
      <c r="O346" s="37"/>
      <c r="P346" s="35"/>
      <c r="Q346" s="35"/>
    </row>
    <row r="347">
      <c r="A347" s="8">
        <v>9.0</v>
      </c>
      <c r="B347" s="2">
        <v>11.0</v>
      </c>
      <c r="C347" s="2" t="s">
        <v>1967</v>
      </c>
      <c r="D347" s="2" t="s">
        <v>40</v>
      </c>
      <c r="E347" s="2" t="s">
        <v>8</v>
      </c>
      <c r="F347" s="33" t="s">
        <v>590</v>
      </c>
      <c r="G347" s="33" t="s">
        <v>2498</v>
      </c>
      <c r="H347" s="33"/>
      <c r="I347" s="26" t="s">
        <v>8</v>
      </c>
      <c r="J347" s="26" t="s">
        <v>1104</v>
      </c>
      <c r="K347" s="26" t="s">
        <v>1105</v>
      </c>
      <c r="L347" s="26"/>
      <c r="M347" s="32"/>
      <c r="N347" s="32"/>
      <c r="O347" s="37"/>
      <c r="P347" s="35"/>
      <c r="Q347" s="35"/>
    </row>
    <row r="348">
      <c r="A348" s="8">
        <v>9.0</v>
      </c>
      <c r="B348" s="2">
        <v>11.0</v>
      </c>
      <c r="C348" s="2" t="s">
        <v>1967</v>
      </c>
      <c r="D348" s="2" t="s">
        <v>40</v>
      </c>
      <c r="E348" s="2" t="s">
        <v>19</v>
      </c>
      <c r="F348" s="33" t="s">
        <v>2499</v>
      </c>
      <c r="G348" s="33" t="s">
        <v>2500</v>
      </c>
      <c r="H348" s="33"/>
      <c r="I348" s="26" t="s">
        <v>8</v>
      </c>
      <c r="J348" s="26" t="s">
        <v>1102</v>
      </c>
      <c r="K348" s="26" t="s">
        <v>2501</v>
      </c>
      <c r="L348" s="26"/>
      <c r="M348" s="32"/>
      <c r="N348" s="32"/>
      <c r="O348" s="37"/>
      <c r="P348" s="35"/>
      <c r="Q348" s="35"/>
    </row>
    <row r="349">
      <c r="A349" s="22">
        <v>9.0</v>
      </c>
      <c r="B349" s="22">
        <v>12.0</v>
      </c>
      <c r="C349" s="2" t="s">
        <v>1971</v>
      </c>
      <c r="D349" s="2" t="s">
        <v>40</v>
      </c>
      <c r="E349" s="2" t="s">
        <v>19</v>
      </c>
      <c r="F349" s="33" t="s">
        <v>1618</v>
      </c>
      <c r="G349" s="33" t="s">
        <v>2502</v>
      </c>
      <c r="H349" s="33"/>
      <c r="I349" s="26" t="s">
        <v>19</v>
      </c>
      <c r="J349" s="26" t="s">
        <v>1618</v>
      </c>
      <c r="K349" s="26" t="s">
        <v>2502</v>
      </c>
      <c r="L349" s="26"/>
      <c r="M349" s="32" t="s">
        <v>1979</v>
      </c>
      <c r="N349" s="32" t="s">
        <v>1979</v>
      </c>
      <c r="O349" s="37"/>
      <c r="P349" s="35"/>
      <c r="Q349" s="35"/>
    </row>
    <row r="350">
      <c r="A350" s="8">
        <v>9.0</v>
      </c>
      <c r="B350" s="2">
        <v>13.0</v>
      </c>
      <c r="C350" s="2" t="s">
        <v>1973</v>
      </c>
      <c r="D350" s="2" t="s">
        <v>28</v>
      </c>
      <c r="E350" s="2" t="s">
        <v>8</v>
      </c>
      <c r="F350" s="33" t="s">
        <v>596</v>
      </c>
      <c r="G350" s="33" t="s">
        <v>2503</v>
      </c>
      <c r="H350" s="33"/>
      <c r="I350" s="26" t="s">
        <v>8</v>
      </c>
      <c r="J350" s="26" t="s">
        <v>596</v>
      </c>
      <c r="K350" s="26" t="s">
        <v>2504</v>
      </c>
      <c r="L350" s="26"/>
      <c r="M350" s="32"/>
      <c r="N350" s="32"/>
      <c r="O350" s="37"/>
      <c r="P350" s="35"/>
      <c r="Q350" s="35"/>
    </row>
    <row r="351">
      <c r="A351" s="8">
        <v>9.0</v>
      </c>
      <c r="B351" s="2">
        <v>14.0</v>
      </c>
      <c r="C351" s="2" t="s">
        <v>1973</v>
      </c>
      <c r="D351" s="2" t="s">
        <v>28</v>
      </c>
      <c r="E351" s="2" t="s">
        <v>19</v>
      </c>
      <c r="F351" s="33" t="s">
        <v>2505</v>
      </c>
      <c r="G351" s="33" t="s">
        <v>2506</v>
      </c>
      <c r="H351" s="33"/>
      <c r="I351" s="26" t="s">
        <v>19</v>
      </c>
      <c r="J351" s="26" t="s">
        <v>2505</v>
      </c>
      <c r="K351" s="26" t="s">
        <v>2507</v>
      </c>
      <c r="L351" s="26"/>
      <c r="M351" s="32"/>
      <c r="N351" s="32"/>
      <c r="O351" s="37"/>
      <c r="P351" s="35"/>
      <c r="Q351" s="35"/>
    </row>
    <row r="352">
      <c r="A352" s="8">
        <v>9.0</v>
      </c>
      <c r="B352" s="2">
        <v>14.0</v>
      </c>
      <c r="C352" s="2" t="s">
        <v>1973</v>
      </c>
      <c r="D352" s="2" t="s">
        <v>28</v>
      </c>
      <c r="E352" s="2" t="s">
        <v>8</v>
      </c>
      <c r="F352" s="33" t="s">
        <v>1624</v>
      </c>
      <c r="G352" s="33" t="s">
        <v>2508</v>
      </c>
      <c r="H352" s="33"/>
      <c r="I352" s="26" t="s">
        <v>8</v>
      </c>
      <c r="J352" s="26" t="s">
        <v>1624</v>
      </c>
      <c r="K352" s="26" t="s">
        <v>2508</v>
      </c>
      <c r="L352" s="26"/>
      <c r="M352" s="32" t="s">
        <v>1979</v>
      </c>
      <c r="N352" s="32" t="s">
        <v>1979</v>
      </c>
      <c r="O352" s="37"/>
      <c r="P352" s="35"/>
      <c r="Q352" s="35"/>
    </row>
    <row r="353">
      <c r="A353" s="8">
        <v>9.0</v>
      </c>
      <c r="B353" s="2">
        <v>15.0</v>
      </c>
      <c r="C353" s="2" t="s">
        <v>1973</v>
      </c>
      <c r="D353" s="12" t="s">
        <v>47</v>
      </c>
      <c r="E353" s="2" t="s">
        <v>8</v>
      </c>
      <c r="F353" s="33" t="s">
        <v>1628</v>
      </c>
      <c r="G353" s="33" t="s">
        <v>2509</v>
      </c>
      <c r="H353" s="33"/>
      <c r="I353" s="26" t="s">
        <v>8</v>
      </c>
      <c r="J353" s="26" t="s">
        <v>1628</v>
      </c>
      <c r="K353" s="26" t="s">
        <v>2509</v>
      </c>
      <c r="L353" s="26"/>
      <c r="M353" s="32"/>
      <c r="N353" s="32"/>
      <c r="O353" s="37"/>
      <c r="P353" s="35"/>
      <c r="Q353" s="35"/>
    </row>
    <row r="354">
      <c r="A354" s="8">
        <v>9.0</v>
      </c>
      <c r="B354" s="2">
        <v>15.0</v>
      </c>
      <c r="C354" s="2" t="s">
        <v>1973</v>
      </c>
      <c r="D354" s="12" t="s">
        <v>47</v>
      </c>
      <c r="E354" s="2" t="s">
        <v>19</v>
      </c>
      <c r="F354" s="33" t="s">
        <v>1626</v>
      </c>
      <c r="G354" s="33" t="s">
        <v>2510</v>
      </c>
      <c r="H354" s="33"/>
      <c r="I354" s="26" t="s">
        <v>19</v>
      </c>
      <c r="J354" s="26" t="s">
        <v>1626</v>
      </c>
      <c r="K354" s="26" t="s">
        <v>2510</v>
      </c>
      <c r="L354" s="26"/>
      <c r="M354" s="32"/>
      <c r="N354" s="32"/>
      <c r="O354" s="37"/>
      <c r="P354" s="35"/>
      <c r="Q354" s="35"/>
    </row>
    <row r="355">
      <c r="A355" s="8">
        <v>9.0</v>
      </c>
      <c r="B355" s="2">
        <v>16.0</v>
      </c>
      <c r="C355" s="2" t="s">
        <v>1967</v>
      </c>
      <c r="D355" s="12" t="s">
        <v>47</v>
      </c>
      <c r="E355" s="2" t="s">
        <v>8</v>
      </c>
      <c r="F355" s="33" t="s">
        <v>604</v>
      </c>
      <c r="G355" s="33" t="s">
        <v>2511</v>
      </c>
      <c r="H355" s="33"/>
      <c r="I355" s="26" t="s">
        <v>8</v>
      </c>
      <c r="J355" s="26" t="s">
        <v>604</v>
      </c>
      <c r="K355" s="26" t="s">
        <v>605</v>
      </c>
      <c r="L355" s="26"/>
      <c r="M355" s="32" t="s">
        <v>1979</v>
      </c>
      <c r="N355" s="32" t="s">
        <v>1979</v>
      </c>
      <c r="O355" s="37"/>
      <c r="P355" s="35"/>
      <c r="Q355" s="35"/>
    </row>
    <row r="356">
      <c r="A356" s="8">
        <v>9.0</v>
      </c>
      <c r="B356" s="2">
        <v>16.0</v>
      </c>
      <c r="C356" s="2" t="s">
        <v>1967</v>
      </c>
      <c r="D356" s="12" t="s">
        <v>47</v>
      </c>
      <c r="E356" s="2" t="s">
        <v>19</v>
      </c>
      <c r="F356" s="33" t="s">
        <v>1106</v>
      </c>
      <c r="G356" s="33" t="s">
        <v>1107</v>
      </c>
      <c r="H356" s="33"/>
      <c r="I356" s="26" t="s">
        <v>19</v>
      </c>
      <c r="J356" s="26" t="s">
        <v>1106</v>
      </c>
      <c r="K356" s="26" t="s">
        <v>1107</v>
      </c>
      <c r="L356" s="26"/>
      <c r="M356" s="32" t="s">
        <v>1979</v>
      </c>
      <c r="N356" s="32" t="s">
        <v>1979</v>
      </c>
      <c r="O356" s="37"/>
      <c r="P356" s="35"/>
      <c r="Q356" s="35"/>
    </row>
    <row r="357">
      <c r="A357" s="8">
        <v>9.0</v>
      </c>
      <c r="B357" s="2">
        <v>16.0</v>
      </c>
      <c r="C357" s="2" t="s">
        <v>1967</v>
      </c>
      <c r="D357" s="12" t="s">
        <v>47</v>
      </c>
      <c r="E357" s="2" t="s">
        <v>19</v>
      </c>
      <c r="F357" s="33" t="s">
        <v>606</v>
      </c>
      <c r="G357" s="33" t="s">
        <v>2512</v>
      </c>
      <c r="H357" s="33"/>
      <c r="I357" s="26" t="s">
        <v>19</v>
      </c>
      <c r="J357" s="26" t="s">
        <v>606</v>
      </c>
      <c r="K357" s="26" t="s">
        <v>2512</v>
      </c>
      <c r="L357" s="26"/>
      <c r="M357" s="32"/>
      <c r="N357" s="32"/>
      <c r="O357" s="37"/>
      <c r="P357" s="35"/>
      <c r="Q357" s="35"/>
    </row>
    <row r="358">
      <c r="A358" s="8">
        <v>9.0</v>
      </c>
      <c r="B358" s="2">
        <v>16.0</v>
      </c>
      <c r="C358" s="2" t="s">
        <v>1967</v>
      </c>
      <c r="D358" s="12" t="s">
        <v>47</v>
      </c>
      <c r="E358" s="2" t="s">
        <v>19</v>
      </c>
      <c r="F358" s="33" t="s">
        <v>607</v>
      </c>
      <c r="G358" s="33" t="s">
        <v>2513</v>
      </c>
      <c r="H358" s="33"/>
      <c r="I358" s="26" t="s">
        <v>19</v>
      </c>
      <c r="J358" s="26" t="s">
        <v>607</v>
      </c>
      <c r="K358" s="26" t="s">
        <v>2514</v>
      </c>
      <c r="L358" s="26"/>
      <c r="M358" s="32" t="s">
        <v>1979</v>
      </c>
      <c r="N358" s="32" t="s">
        <v>2106</v>
      </c>
      <c r="O358" s="37"/>
      <c r="P358" s="35"/>
      <c r="Q358" s="35"/>
    </row>
    <row r="359">
      <c r="A359" s="22">
        <v>9.0</v>
      </c>
      <c r="B359" s="22">
        <v>17.0</v>
      </c>
      <c r="C359" s="2" t="s">
        <v>1971</v>
      </c>
      <c r="D359" s="2" t="s">
        <v>47</v>
      </c>
      <c r="E359" s="2" t="s">
        <v>8</v>
      </c>
      <c r="F359" s="33" t="s">
        <v>1630</v>
      </c>
      <c r="G359" s="33" t="s">
        <v>2515</v>
      </c>
      <c r="H359" s="33"/>
      <c r="I359" s="26" t="s">
        <v>8</v>
      </c>
      <c r="J359" s="26" t="s">
        <v>1630</v>
      </c>
      <c r="K359" s="26" t="s">
        <v>2515</v>
      </c>
      <c r="L359" s="26"/>
      <c r="M359" s="32"/>
      <c r="N359" s="32"/>
      <c r="O359" s="37"/>
      <c r="P359" s="35"/>
      <c r="Q359" s="35"/>
    </row>
    <row r="360">
      <c r="A360" s="22">
        <v>9.0</v>
      </c>
      <c r="B360" s="22">
        <v>17.0</v>
      </c>
      <c r="C360" s="2" t="s">
        <v>1971</v>
      </c>
      <c r="D360" s="2" t="s">
        <v>47</v>
      </c>
      <c r="E360" s="2" t="s">
        <v>19</v>
      </c>
      <c r="F360" s="33" t="s">
        <v>1632</v>
      </c>
      <c r="G360" s="33" t="s">
        <v>1633</v>
      </c>
      <c r="H360" s="33"/>
      <c r="I360" s="26" t="s">
        <v>19</v>
      </c>
      <c r="J360" s="26" t="s">
        <v>1632</v>
      </c>
      <c r="K360" s="26" t="s">
        <v>1633</v>
      </c>
      <c r="L360" s="26"/>
      <c r="M360" s="32"/>
      <c r="N360" s="32"/>
      <c r="O360" s="37"/>
      <c r="P360" s="35"/>
      <c r="Q360" s="35"/>
    </row>
    <row r="361">
      <c r="A361" s="8">
        <v>9.0</v>
      </c>
      <c r="B361" s="2">
        <v>18.0</v>
      </c>
      <c r="C361" s="2" t="s">
        <v>1973</v>
      </c>
      <c r="D361" s="2" t="s">
        <v>72</v>
      </c>
      <c r="E361" s="2" t="s">
        <v>8</v>
      </c>
      <c r="F361" s="33" t="s">
        <v>609</v>
      </c>
      <c r="G361" s="33" t="s">
        <v>2516</v>
      </c>
      <c r="H361" s="33"/>
      <c r="I361" s="26" t="s">
        <v>8</v>
      </c>
      <c r="J361" s="26" t="s">
        <v>609</v>
      </c>
      <c r="K361" s="26" t="s">
        <v>2516</v>
      </c>
      <c r="L361" s="26"/>
      <c r="M361" s="32"/>
      <c r="N361" s="32"/>
      <c r="O361" s="37"/>
      <c r="P361" s="35"/>
      <c r="Q361" s="35"/>
    </row>
    <row r="362">
      <c r="A362" s="8">
        <v>9.0</v>
      </c>
      <c r="B362" s="2">
        <v>19.0</v>
      </c>
      <c r="C362" s="2" t="s">
        <v>1973</v>
      </c>
      <c r="D362" s="2" t="s">
        <v>72</v>
      </c>
      <c r="E362" s="2" t="s">
        <v>19</v>
      </c>
      <c r="F362" s="33" t="s">
        <v>1636</v>
      </c>
      <c r="G362" s="33" t="s">
        <v>2517</v>
      </c>
      <c r="H362" s="33"/>
      <c r="I362" s="26" t="s">
        <v>19</v>
      </c>
      <c r="J362" s="26" t="s">
        <v>1636</v>
      </c>
      <c r="K362" s="26" t="s">
        <v>2517</v>
      </c>
      <c r="L362" s="26"/>
      <c r="M362" s="32"/>
      <c r="N362" s="32"/>
      <c r="O362" s="37"/>
      <c r="P362" s="35"/>
      <c r="Q362" s="35"/>
    </row>
    <row r="363">
      <c r="A363" s="8">
        <v>9.0</v>
      </c>
      <c r="B363" s="2">
        <v>19.0</v>
      </c>
      <c r="C363" s="2" t="s">
        <v>1973</v>
      </c>
      <c r="D363" s="2" t="s">
        <v>72</v>
      </c>
      <c r="E363" s="2" t="s">
        <v>19</v>
      </c>
      <c r="F363" s="33" t="s">
        <v>611</v>
      </c>
      <c r="G363" s="33" t="s">
        <v>2518</v>
      </c>
      <c r="H363" s="33"/>
      <c r="I363" s="26" t="s">
        <v>19</v>
      </c>
      <c r="J363" s="26" t="s">
        <v>611</v>
      </c>
      <c r="K363" s="26" t="s">
        <v>2518</v>
      </c>
      <c r="L363" s="26"/>
      <c r="M363" s="32"/>
      <c r="N363" s="32"/>
      <c r="O363" s="37"/>
      <c r="P363" s="35"/>
      <c r="Q363" s="35"/>
    </row>
    <row r="364">
      <c r="A364" s="8">
        <v>9.0</v>
      </c>
      <c r="B364" s="2">
        <v>20.0</v>
      </c>
      <c r="C364" s="2" t="s">
        <v>1973</v>
      </c>
      <c r="D364" s="2" t="s">
        <v>72</v>
      </c>
      <c r="E364" s="2" t="s">
        <v>19</v>
      </c>
      <c r="F364" s="33" t="s">
        <v>2519</v>
      </c>
      <c r="G364" s="33" t="s">
        <v>2520</v>
      </c>
      <c r="H364" s="33"/>
      <c r="I364" s="26" t="s">
        <v>19</v>
      </c>
      <c r="J364" s="26" t="s">
        <v>2519</v>
      </c>
      <c r="K364" s="26" t="s">
        <v>614</v>
      </c>
      <c r="L364" s="26"/>
      <c r="M364" s="32"/>
      <c r="N364" s="32"/>
      <c r="O364" s="37"/>
      <c r="P364" s="35"/>
      <c r="Q364" s="35"/>
    </row>
    <row r="365">
      <c r="A365" s="8">
        <v>9.0</v>
      </c>
      <c r="B365" s="2">
        <v>21.0</v>
      </c>
      <c r="C365" s="8" t="s">
        <v>1967</v>
      </c>
      <c r="D365" s="2" t="s">
        <v>72</v>
      </c>
      <c r="E365" s="2" t="s">
        <v>8</v>
      </c>
      <c r="F365" s="33" t="s">
        <v>2521</v>
      </c>
      <c r="G365" s="33" t="s">
        <v>2522</v>
      </c>
      <c r="H365" s="33"/>
      <c r="I365" s="26" t="s">
        <v>8</v>
      </c>
      <c r="J365" s="26" t="s">
        <v>2521</v>
      </c>
      <c r="K365" s="26" t="s">
        <v>2522</v>
      </c>
      <c r="L365" s="26"/>
      <c r="M365" s="32" t="s">
        <v>2106</v>
      </c>
      <c r="N365" s="32" t="s">
        <v>1979</v>
      </c>
      <c r="O365" s="37"/>
      <c r="P365" s="35"/>
      <c r="Q365" s="35"/>
    </row>
    <row r="366">
      <c r="A366" s="8">
        <v>9.0</v>
      </c>
      <c r="B366" s="2">
        <v>21.0</v>
      </c>
      <c r="C366" s="2" t="s">
        <v>1967</v>
      </c>
      <c r="D366" s="2" t="s">
        <v>72</v>
      </c>
      <c r="E366" s="2" t="s">
        <v>19</v>
      </c>
      <c r="F366" s="33" t="s">
        <v>1111</v>
      </c>
      <c r="G366" s="33" t="s">
        <v>2523</v>
      </c>
      <c r="H366" s="33"/>
      <c r="I366" s="26" t="s">
        <v>19</v>
      </c>
      <c r="J366" s="26" t="s">
        <v>1111</v>
      </c>
      <c r="K366" s="26" t="s">
        <v>1112</v>
      </c>
      <c r="L366" s="26"/>
      <c r="M366" s="32" t="s">
        <v>1979</v>
      </c>
      <c r="N366" s="32" t="s">
        <v>1979</v>
      </c>
      <c r="O366" s="37"/>
      <c r="P366" s="35"/>
      <c r="Q366" s="35"/>
    </row>
    <row r="367">
      <c r="A367" s="22">
        <v>9.0</v>
      </c>
      <c r="B367" s="22">
        <v>22.0</v>
      </c>
      <c r="C367" s="2" t="s">
        <v>1971</v>
      </c>
      <c r="D367" s="2" t="s">
        <v>72</v>
      </c>
      <c r="E367" s="2" t="s">
        <v>19</v>
      </c>
      <c r="F367" s="33" t="s">
        <v>1642</v>
      </c>
      <c r="G367" s="33" t="s">
        <v>2524</v>
      </c>
      <c r="H367" s="33"/>
      <c r="I367" s="26" t="s">
        <v>19</v>
      </c>
      <c r="J367" s="26" t="s">
        <v>1642</v>
      </c>
      <c r="K367" s="26" t="s">
        <v>2524</v>
      </c>
      <c r="L367" s="26"/>
      <c r="M367" s="32"/>
      <c r="N367" s="32"/>
      <c r="O367" s="37"/>
      <c r="P367" s="35"/>
      <c r="Q367" s="35"/>
    </row>
    <row r="368">
      <c r="A368" s="8">
        <v>9.0</v>
      </c>
      <c r="B368" s="2">
        <v>23.0</v>
      </c>
      <c r="C368" s="2" t="s">
        <v>1973</v>
      </c>
      <c r="D368" s="2" t="s">
        <v>33</v>
      </c>
      <c r="E368" s="2" t="s">
        <v>19</v>
      </c>
      <c r="F368" s="33" t="s">
        <v>617</v>
      </c>
      <c r="G368" s="33" t="s">
        <v>2525</v>
      </c>
      <c r="H368" s="33"/>
      <c r="I368" s="26" t="s">
        <v>19</v>
      </c>
      <c r="J368" s="26" t="s">
        <v>617</v>
      </c>
      <c r="K368" s="26" t="s">
        <v>2526</v>
      </c>
      <c r="L368" s="26"/>
      <c r="M368" s="32" t="s">
        <v>1979</v>
      </c>
      <c r="N368" s="32" t="s">
        <v>1979</v>
      </c>
      <c r="O368" s="37"/>
      <c r="P368" s="35"/>
      <c r="Q368" s="35"/>
    </row>
    <row r="369">
      <c r="A369" s="8">
        <v>9.0</v>
      </c>
      <c r="B369" s="2">
        <v>23.0</v>
      </c>
      <c r="C369" s="2" t="s">
        <v>1973</v>
      </c>
      <c r="D369" s="2" t="s">
        <v>33</v>
      </c>
      <c r="E369" s="2" t="s">
        <v>19</v>
      </c>
      <c r="F369" s="33" t="s">
        <v>619</v>
      </c>
      <c r="G369" s="33" t="s">
        <v>2527</v>
      </c>
      <c r="H369" s="33"/>
      <c r="I369" s="26" t="s">
        <v>19</v>
      </c>
      <c r="J369" s="26" t="s">
        <v>1644</v>
      </c>
      <c r="K369" s="26" t="s">
        <v>2527</v>
      </c>
      <c r="L369" s="26"/>
      <c r="M369" s="32"/>
      <c r="N369" s="32"/>
      <c r="O369" s="37"/>
      <c r="P369" s="35"/>
      <c r="Q369" s="35"/>
    </row>
    <row r="370">
      <c r="A370" s="8">
        <v>9.0</v>
      </c>
      <c r="B370" s="2">
        <v>24.0</v>
      </c>
      <c r="C370" s="2" t="s">
        <v>1973</v>
      </c>
      <c r="D370" s="2" t="s">
        <v>54</v>
      </c>
      <c r="E370" s="2" t="s">
        <v>19</v>
      </c>
      <c r="F370" s="33" t="s">
        <v>621</v>
      </c>
      <c r="G370" s="33" t="s">
        <v>1647</v>
      </c>
      <c r="H370" s="33"/>
      <c r="I370" s="26" t="s">
        <v>19</v>
      </c>
      <c r="J370" s="26" t="s">
        <v>621</v>
      </c>
      <c r="K370" s="26" t="s">
        <v>1647</v>
      </c>
      <c r="L370" s="26"/>
      <c r="M370" s="32" t="s">
        <v>1979</v>
      </c>
      <c r="N370" s="32" t="s">
        <v>1979</v>
      </c>
      <c r="O370" s="37"/>
      <c r="P370" s="35"/>
      <c r="Q370" s="35"/>
    </row>
    <row r="371">
      <c r="A371" s="8">
        <v>9.0</v>
      </c>
      <c r="B371" s="2">
        <v>26.0</v>
      </c>
      <c r="C371" s="2" t="s">
        <v>1967</v>
      </c>
      <c r="D371" s="2" t="s">
        <v>54</v>
      </c>
      <c r="E371" s="2" t="s">
        <v>8</v>
      </c>
      <c r="F371" s="33" t="s">
        <v>2528</v>
      </c>
      <c r="G371" s="33" t="s">
        <v>2529</v>
      </c>
      <c r="H371" s="33"/>
      <c r="I371" s="26" t="s">
        <v>8</v>
      </c>
      <c r="J371" s="26" t="s">
        <v>2528</v>
      </c>
      <c r="K371" s="26" t="s">
        <v>2530</v>
      </c>
      <c r="L371" s="26"/>
      <c r="M371" s="32" t="s">
        <v>1979</v>
      </c>
      <c r="N371" s="32" t="s">
        <v>1979</v>
      </c>
      <c r="O371" s="37"/>
      <c r="P371" s="35"/>
      <c r="Q371" s="35"/>
    </row>
    <row r="372">
      <c r="A372" s="22">
        <v>10.0</v>
      </c>
      <c r="B372" s="22">
        <v>2.0</v>
      </c>
      <c r="C372" s="2" t="s">
        <v>1971</v>
      </c>
      <c r="D372" s="2" t="s">
        <v>451</v>
      </c>
      <c r="E372" s="2" t="s">
        <v>19</v>
      </c>
      <c r="F372" s="33" t="s">
        <v>1648</v>
      </c>
      <c r="G372" s="33" t="s">
        <v>2531</v>
      </c>
      <c r="H372" s="33"/>
      <c r="I372" s="26" t="s">
        <v>19</v>
      </c>
      <c r="J372" s="26" t="s">
        <v>1648</v>
      </c>
      <c r="K372" s="26" t="s">
        <v>2531</v>
      </c>
      <c r="L372" s="26"/>
      <c r="M372" s="32"/>
      <c r="N372" s="32"/>
      <c r="O372" s="37"/>
      <c r="P372" s="35"/>
      <c r="Q372" s="35"/>
    </row>
    <row r="373">
      <c r="A373" s="22">
        <v>10.0</v>
      </c>
      <c r="B373" s="22">
        <v>2.0</v>
      </c>
      <c r="C373" s="2" t="s">
        <v>1971</v>
      </c>
      <c r="D373" s="2" t="s">
        <v>451</v>
      </c>
      <c r="E373" s="2" t="s">
        <v>19</v>
      </c>
      <c r="F373" s="33" t="s">
        <v>1117</v>
      </c>
      <c r="G373" s="33" t="s">
        <v>2532</v>
      </c>
      <c r="H373" s="33"/>
      <c r="I373" s="26" t="s">
        <v>19</v>
      </c>
      <c r="J373" s="26" t="s">
        <v>1117</v>
      </c>
      <c r="K373" s="26" t="s">
        <v>2532</v>
      </c>
      <c r="L373" s="26"/>
      <c r="M373" s="32" t="s">
        <v>1979</v>
      </c>
      <c r="N373" s="32" t="s">
        <v>1979</v>
      </c>
      <c r="O373" s="37"/>
      <c r="P373" s="35"/>
      <c r="Q373" s="35"/>
    </row>
    <row r="374">
      <c r="A374" s="8">
        <v>10.0</v>
      </c>
      <c r="B374" s="2">
        <v>3.0</v>
      </c>
      <c r="C374" s="2" t="s">
        <v>1973</v>
      </c>
      <c r="D374" s="2" t="s">
        <v>7</v>
      </c>
      <c r="E374" s="2" t="s">
        <v>8</v>
      </c>
      <c r="F374" s="33" t="s">
        <v>1650</v>
      </c>
      <c r="G374" s="33" t="s">
        <v>2533</v>
      </c>
      <c r="H374" s="33"/>
      <c r="I374" s="26" t="s">
        <v>8</v>
      </c>
      <c r="J374" s="26" t="s">
        <v>1650</v>
      </c>
      <c r="K374" s="26" t="s">
        <v>2534</v>
      </c>
      <c r="L374" s="26"/>
      <c r="M374" s="32" t="s">
        <v>1979</v>
      </c>
      <c r="N374" s="32" t="s">
        <v>1979</v>
      </c>
      <c r="O374" s="37"/>
      <c r="P374" s="35"/>
      <c r="Q374" s="35"/>
    </row>
    <row r="375">
      <c r="A375" s="8">
        <v>10.0</v>
      </c>
      <c r="B375" s="2">
        <v>5.0</v>
      </c>
      <c r="C375" s="2" t="s">
        <v>1973</v>
      </c>
      <c r="D375" s="2" t="s">
        <v>7</v>
      </c>
      <c r="E375" s="2" t="s">
        <v>8</v>
      </c>
      <c r="F375" s="33" t="s">
        <v>631</v>
      </c>
      <c r="G375" s="33" t="s">
        <v>2535</v>
      </c>
      <c r="H375" s="33"/>
      <c r="I375" s="26" t="s">
        <v>8</v>
      </c>
      <c r="J375" s="26" t="s">
        <v>631</v>
      </c>
      <c r="K375" s="26" t="s">
        <v>2535</v>
      </c>
      <c r="L375" s="26"/>
      <c r="M375" s="32"/>
      <c r="N375" s="32"/>
      <c r="O375" s="37"/>
      <c r="P375" s="35"/>
      <c r="Q375" s="35"/>
    </row>
    <row r="376">
      <c r="A376" s="8">
        <v>10.0</v>
      </c>
      <c r="B376" s="2">
        <v>5.0</v>
      </c>
      <c r="C376" s="2" t="s">
        <v>1973</v>
      </c>
      <c r="D376" s="2" t="s">
        <v>7</v>
      </c>
      <c r="E376" s="2" t="s">
        <v>8</v>
      </c>
      <c r="F376" s="33" t="s">
        <v>2536</v>
      </c>
      <c r="G376" s="33" t="s">
        <v>2537</v>
      </c>
      <c r="H376" s="33"/>
      <c r="I376" s="26" t="s">
        <v>8</v>
      </c>
      <c r="J376" s="26" t="s">
        <v>2536</v>
      </c>
      <c r="K376" s="26" t="s">
        <v>2537</v>
      </c>
      <c r="L376" s="26"/>
      <c r="M376" s="32"/>
      <c r="N376" s="32"/>
      <c r="O376" s="37"/>
      <c r="P376" s="35"/>
      <c r="Q376" s="35"/>
    </row>
    <row r="377">
      <c r="A377" s="8">
        <v>10.0</v>
      </c>
      <c r="B377" s="2">
        <v>6.0</v>
      </c>
      <c r="C377" s="2" t="s">
        <v>1967</v>
      </c>
      <c r="D377" s="2" t="s">
        <v>7</v>
      </c>
      <c r="E377" s="2" t="s">
        <v>8</v>
      </c>
      <c r="F377" s="33" t="s">
        <v>635</v>
      </c>
      <c r="G377" s="33" t="s">
        <v>2538</v>
      </c>
      <c r="H377" s="33"/>
      <c r="I377" s="26" t="s">
        <v>8</v>
      </c>
      <c r="J377" s="26" t="s">
        <v>635</v>
      </c>
      <c r="K377" s="26" t="s">
        <v>636</v>
      </c>
      <c r="L377" s="26"/>
      <c r="M377" s="32"/>
      <c r="N377" s="32"/>
      <c r="O377" s="37"/>
      <c r="P377" s="35"/>
      <c r="Q377" s="35"/>
    </row>
    <row r="378">
      <c r="A378" s="8">
        <v>10.0</v>
      </c>
      <c r="B378" s="2">
        <v>6.0</v>
      </c>
      <c r="C378" s="2" t="s">
        <v>1967</v>
      </c>
      <c r="D378" s="2" t="s">
        <v>7</v>
      </c>
      <c r="E378" s="2" t="s">
        <v>19</v>
      </c>
      <c r="F378" s="33" t="s">
        <v>637</v>
      </c>
      <c r="G378" s="33" t="s">
        <v>2539</v>
      </c>
      <c r="H378" s="33"/>
      <c r="I378" s="26" t="s">
        <v>19</v>
      </c>
      <c r="J378" s="26" t="s">
        <v>637</v>
      </c>
      <c r="K378" s="26" t="s">
        <v>638</v>
      </c>
      <c r="L378" s="26"/>
      <c r="M378" s="32" t="s">
        <v>1979</v>
      </c>
      <c r="N378" s="32" t="s">
        <v>1979</v>
      </c>
      <c r="O378" s="37"/>
      <c r="P378" s="35"/>
      <c r="Q378" s="35"/>
    </row>
    <row r="379">
      <c r="A379" s="22">
        <v>10.0</v>
      </c>
      <c r="B379" s="22">
        <v>7.0</v>
      </c>
      <c r="C379" s="2" t="s">
        <v>1971</v>
      </c>
      <c r="D379" s="2" t="s">
        <v>7</v>
      </c>
      <c r="E379" s="2" t="s">
        <v>19</v>
      </c>
      <c r="F379" s="33" t="s">
        <v>2540</v>
      </c>
      <c r="G379" s="33" t="s">
        <v>2541</v>
      </c>
      <c r="H379" s="33"/>
      <c r="I379" s="26" t="s">
        <v>19</v>
      </c>
      <c r="J379" s="26" t="s">
        <v>2540</v>
      </c>
      <c r="K379" s="26" t="s">
        <v>2541</v>
      </c>
      <c r="L379" s="26"/>
      <c r="M379" s="32"/>
      <c r="N379" s="32"/>
      <c r="O379" s="37"/>
      <c r="P379" s="35"/>
      <c r="Q379" s="35"/>
    </row>
    <row r="380">
      <c r="A380" s="22">
        <v>10.0</v>
      </c>
      <c r="B380" s="22">
        <v>7.0</v>
      </c>
      <c r="C380" s="2" t="s">
        <v>1971</v>
      </c>
      <c r="D380" s="2" t="s">
        <v>7</v>
      </c>
      <c r="E380" s="2" t="s">
        <v>8</v>
      </c>
      <c r="F380" s="33" t="s">
        <v>2542</v>
      </c>
      <c r="G380" s="33" t="s">
        <v>1124</v>
      </c>
      <c r="H380" s="33"/>
      <c r="I380" s="26" t="s">
        <v>8</v>
      </c>
      <c r="J380" s="26" t="s">
        <v>2542</v>
      </c>
      <c r="K380" s="26" t="s">
        <v>1124</v>
      </c>
      <c r="L380" s="26"/>
      <c r="M380" s="32" t="s">
        <v>1979</v>
      </c>
      <c r="N380" s="32" t="s">
        <v>1979</v>
      </c>
      <c r="O380" s="37"/>
      <c r="P380" s="35"/>
      <c r="Q380" s="35"/>
    </row>
    <row r="381">
      <c r="A381" s="22">
        <v>10.0</v>
      </c>
      <c r="B381" s="22">
        <v>7.0</v>
      </c>
      <c r="C381" s="2" t="s">
        <v>1971</v>
      </c>
      <c r="D381" s="2" t="s">
        <v>7</v>
      </c>
      <c r="E381" s="2" t="s">
        <v>8</v>
      </c>
      <c r="F381" s="33" t="s">
        <v>1125</v>
      </c>
      <c r="G381" s="33" t="s">
        <v>2543</v>
      </c>
      <c r="H381" s="33"/>
      <c r="I381" s="26" t="s">
        <v>8</v>
      </c>
      <c r="J381" s="26" t="s">
        <v>1125</v>
      </c>
      <c r="K381" s="26" t="s">
        <v>1659</v>
      </c>
      <c r="L381" s="26"/>
      <c r="M381" s="32"/>
      <c r="N381" s="32"/>
      <c r="O381" s="37"/>
      <c r="P381" s="35"/>
      <c r="Q381" s="35"/>
    </row>
    <row r="382">
      <c r="A382" s="8">
        <v>10.0</v>
      </c>
      <c r="B382" s="2">
        <v>8.0</v>
      </c>
      <c r="C382" s="2" t="s">
        <v>1973</v>
      </c>
      <c r="D382" s="2" t="s">
        <v>7</v>
      </c>
      <c r="E382" s="2" t="s">
        <v>19</v>
      </c>
      <c r="F382" s="33" t="s">
        <v>639</v>
      </c>
      <c r="G382" s="33" t="s">
        <v>2544</v>
      </c>
      <c r="H382" s="33"/>
      <c r="I382" s="26" t="s">
        <v>19</v>
      </c>
      <c r="J382" s="26" t="s">
        <v>639</v>
      </c>
      <c r="K382" s="26" t="s">
        <v>2544</v>
      </c>
      <c r="L382" s="26"/>
      <c r="M382" s="32" t="s">
        <v>1979</v>
      </c>
      <c r="N382" s="32" t="s">
        <v>1979</v>
      </c>
      <c r="O382" s="37"/>
      <c r="P382" s="35"/>
      <c r="Q382" s="35"/>
    </row>
    <row r="383">
      <c r="A383" s="8">
        <v>10.0</v>
      </c>
      <c r="B383" s="2">
        <v>8.0</v>
      </c>
      <c r="C383" s="2" t="s">
        <v>1973</v>
      </c>
      <c r="D383" s="2" t="s">
        <v>7</v>
      </c>
      <c r="E383" s="2" t="s">
        <v>19</v>
      </c>
      <c r="F383" s="33" t="s">
        <v>641</v>
      </c>
      <c r="G383" s="33" t="s">
        <v>2545</v>
      </c>
      <c r="H383" s="33"/>
      <c r="I383" s="26" t="s">
        <v>19</v>
      </c>
      <c r="J383" s="26" t="s">
        <v>641</v>
      </c>
      <c r="K383" s="26" t="s">
        <v>2545</v>
      </c>
      <c r="L383" s="26"/>
      <c r="M383" s="32" t="s">
        <v>1979</v>
      </c>
      <c r="N383" s="32" t="s">
        <v>1979</v>
      </c>
      <c r="O383" s="37"/>
      <c r="P383" s="35"/>
      <c r="Q383" s="35"/>
    </row>
    <row r="384">
      <c r="A384" s="8">
        <v>10.0</v>
      </c>
      <c r="B384" s="2">
        <v>8.0</v>
      </c>
      <c r="C384" s="2" t="s">
        <v>1973</v>
      </c>
      <c r="D384" s="2" t="s">
        <v>7</v>
      </c>
      <c r="E384" s="2" t="s">
        <v>8</v>
      </c>
      <c r="F384" s="33" t="s">
        <v>1660</v>
      </c>
      <c r="G384" s="33" t="s">
        <v>2546</v>
      </c>
      <c r="H384" s="33"/>
      <c r="I384" s="26" t="s">
        <v>8</v>
      </c>
      <c r="J384" s="26" t="s">
        <v>1660</v>
      </c>
      <c r="K384" s="26" t="s">
        <v>2546</v>
      </c>
      <c r="L384" s="26"/>
      <c r="M384" s="32" t="s">
        <v>1979</v>
      </c>
      <c r="N384" s="32" t="s">
        <v>1979</v>
      </c>
      <c r="O384" s="37"/>
      <c r="P384" s="35"/>
      <c r="Q384" s="35"/>
    </row>
    <row r="385">
      <c r="A385" s="8">
        <v>10.0</v>
      </c>
      <c r="B385" s="2">
        <v>9.0</v>
      </c>
      <c r="C385" s="2" t="s">
        <v>1973</v>
      </c>
      <c r="D385" s="2" t="s">
        <v>7</v>
      </c>
      <c r="E385" s="2" t="s">
        <v>19</v>
      </c>
      <c r="F385" s="33" t="s">
        <v>1662</v>
      </c>
      <c r="G385" s="33" t="s">
        <v>1663</v>
      </c>
      <c r="H385" s="33"/>
      <c r="I385" s="26" t="s">
        <v>19</v>
      </c>
      <c r="J385" s="26" t="s">
        <v>1662</v>
      </c>
      <c r="K385" s="26" t="s">
        <v>1663</v>
      </c>
      <c r="L385" s="26"/>
      <c r="M385" s="32"/>
      <c r="N385" s="32"/>
      <c r="O385" s="37"/>
      <c r="P385" s="35"/>
      <c r="Q385" s="35"/>
    </row>
    <row r="386">
      <c r="A386" s="8">
        <v>10.0</v>
      </c>
      <c r="B386" s="2">
        <v>9.0</v>
      </c>
      <c r="C386" s="2" t="s">
        <v>1973</v>
      </c>
      <c r="D386" s="2" t="s">
        <v>7</v>
      </c>
      <c r="E386" s="2" t="s">
        <v>8</v>
      </c>
      <c r="F386" s="33" t="s">
        <v>2547</v>
      </c>
      <c r="G386" s="33" t="s">
        <v>2548</v>
      </c>
      <c r="H386" s="33"/>
      <c r="I386" s="26" t="s">
        <v>8</v>
      </c>
      <c r="J386" s="26" t="s">
        <v>2547</v>
      </c>
      <c r="K386" s="26" t="s">
        <v>2548</v>
      </c>
      <c r="L386" s="26"/>
      <c r="M386" s="32" t="s">
        <v>1979</v>
      </c>
      <c r="N386" s="32" t="s">
        <v>1979</v>
      </c>
      <c r="O386" s="37"/>
      <c r="P386" s="35"/>
      <c r="Q386" s="35"/>
    </row>
    <row r="387">
      <c r="A387" s="8">
        <v>10.0</v>
      </c>
      <c r="B387" s="2">
        <v>9.0</v>
      </c>
      <c r="C387" s="2" t="s">
        <v>1973</v>
      </c>
      <c r="D387" s="2" t="s">
        <v>7</v>
      </c>
      <c r="E387" s="2" t="s">
        <v>19</v>
      </c>
      <c r="F387" s="33" t="s">
        <v>647</v>
      </c>
      <c r="G387" s="33" t="s">
        <v>2549</v>
      </c>
      <c r="H387" s="33"/>
      <c r="I387" s="26" t="s">
        <v>19</v>
      </c>
      <c r="J387" s="26" t="s">
        <v>647</v>
      </c>
      <c r="K387" s="26" t="s">
        <v>2549</v>
      </c>
      <c r="L387" s="26"/>
      <c r="M387" s="32" t="s">
        <v>1979</v>
      </c>
      <c r="N387" s="32" t="s">
        <v>1979</v>
      </c>
      <c r="O387" s="37"/>
      <c r="P387" s="35"/>
      <c r="Q387" s="35"/>
    </row>
    <row r="388">
      <c r="A388" s="8">
        <v>10.0</v>
      </c>
      <c r="B388" s="2">
        <v>10.0</v>
      </c>
      <c r="C388" s="2" t="s">
        <v>1973</v>
      </c>
      <c r="D388" s="2" t="s">
        <v>7</v>
      </c>
      <c r="E388" s="2" t="s">
        <v>19</v>
      </c>
      <c r="F388" s="33" t="s">
        <v>1666</v>
      </c>
      <c r="G388" s="33" t="s">
        <v>1667</v>
      </c>
      <c r="H388" s="33"/>
      <c r="I388" s="26" t="s">
        <v>19</v>
      </c>
      <c r="J388" s="26" t="s">
        <v>1666</v>
      </c>
      <c r="K388" s="26" t="s">
        <v>1667</v>
      </c>
      <c r="L388" s="26"/>
      <c r="M388" s="32" t="s">
        <v>1979</v>
      </c>
      <c r="N388" s="32" t="s">
        <v>1979</v>
      </c>
      <c r="O388" s="37"/>
      <c r="P388" s="35"/>
      <c r="Q388" s="35"/>
    </row>
    <row r="389">
      <c r="A389" s="8">
        <v>10.0</v>
      </c>
      <c r="B389" s="2">
        <v>11.0</v>
      </c>
      <c r="C389" s="2" t="s">
        <v>1967</v>
      </c>
      <c r="D389" s="12" t="s">
        <v>59</v>
      </c>
      <c r="E389" s="2" t="s">
        <v>19</v>
      </c>
      <c r="F389" s="33" t="s">
        <v>1127</v>
      </c>
      <c r="G389" s="33" t="s">
        <v>2550</v>
      </c>
      <c r="H389" s="33"/>
      <c r="I389" s="26" t="s">
        <v>19</v>
      </c>
      <c r="J389" s="26" t="s">
        <v>1127</v>
      </c>
      <c r="K389" s="26" t="s">
        <v>2550</v>
      </c>
      <c r="L389" s="26"/>
      <c r="M389" s="32" t="s">
        <v>1979</v>
      </c>
      <c r="N389" s="32" t="s">
        <v>1979</v>
      </c>
      <c r="O389" s="37"/>
      <c r="P389" s="35"/>
      <c r="Q389" s="35"/>
    </row>
    <row r="390">
      <c r="A390" s="8">
        <v>10.0</v>
      </c>
      <c r="B390" s="2">
        <v>11.0</v>
      </c>
      <c r="C390" s="2" t="s">
        <v>1967</v>
      </c>
      <c r="D390" s="12" t="s">
        <v>59</v>
      </c>
      <c r="E390" s="2" t="s">
        <v>19</v>
      </c>
      <c r="F390" s="33" t="s">
        <v>649</v>
      </c>
      <c r="G390" s="33" t="s">
        <v>2551</v>
      </c>
      <c r="H390" s="33"/>
      <c r="I390" s="26" t="s">
        <v>19</v>
      </c>
      <c r="J390" s="26" t="s">
        <v>649</v>
      </c>
      <c r="K390" s="26" t="s">
        <v>2552</v>
      </c>
      <c r="L390" s="26"/>
      <c r="M390" s="32" t="s">
        <v>1979</v>
      </c>
      <c r="N390" s="32" t="s">
        <v>1979</v>
      </c>
      <c r="O390" s="37"/>
      <c r="P390" s="35"/>
      <c r="Q390" s="35"/>
    </row>
    <row r="391">
      <c r="A391" s="22">
        <v>10.0</v>
      </c>
      <c r="B391" s="22">
        <v>12.0</v>
      </c>
      <c r="C391" s="2" t="s">
        <v>1971</v>
      </c>
      <c r="D391" s="12" t="s">
        <v>59</v>
      </c>
      <c r="E391" s="2" t="s">
        <v>8</v>
      </c>
      <c r="F391" s="33" t="s">
        <v>1129</v>
      </c>
      <c r="G391" s="33" t="s">
        <v>2553</v>
      </c>
      <c r="H391" s="33"/>
      <c r="I391" s="26" t="s">
        <v>8</v>
      </c>
      <c r="J391" s="26" t="s">
        <v>1129</v>
      </c>
      <c r="K391" s="26" t="s">
        <v>2553</v>
      </c>
      <c r="L391" s="26"/>
      <c r="M391" s="32" t="s">
        <v>1979</v>
      </c>
      <c r="N391" s="32" t="s">
        <v>1979</v>
      </c>
      <c r="O391" s="37"/>
      <c r="P391" s="35"/>
      <c r="Q391" s="35"/>
    </row>
    <row r="392">
      <c r="A392" s="22">
        <v>10.0</v>
      </c>
      <c r="B392" s="22">
        <v>12.0</v>
      </c>
      <c r="C392" s="2" t="s">
        <v>1971</v>
      </c>
      <c r="D392" s="12" t="s">
        <v>59</v>
      </c>
      <c r="E392" s="2" t="s">
        <v>19</v>
      </c>
      <c r="F392" s="33" t="s">
        <v>1668</v>
      </c>
      <c r="G392" s="33" t="s">
        <v>1669</v>
      </c>
      <c r="H392" s="33"/>
      <c r="I392" s="26" t="s">
        <v>19</v>
      </c>
      <c r="J392" s="26" t="s">
        <v>1668</v>
      </c>
      <c r="K392" s="26" t="s">
        <v>1669</v>
      </c>
      <c r="L392" s="26"/>
      <c r="M392" s="32"/>
      <c r="N392" s="32"/>
      <c r="O392" s="37"/>
      <c r="P392" s="35"/>
      <c r="Q392" s="35"/>
    </row>
    <row r="393">
      <c r="A393" s="22">
        <v>10.0</v>
      </c>
      <c r="B393" s="22">
        <v>12.0</v>
      </c>
      <c r="C393" s="2" t="s">
        <v>1971</v>
      </c>
      <c r="D393" s="12" t="s">
        <v>59</v>
      </c>
      <c r="E393" s="2" t="s">
        <v>19</v>
      </c>
      <c r="F393" s="33" t="s">
        <v>1670</v>
      </c>
      <c r="G393" s="33" t="s">
        <v>2554</v>
      </c>
      <c r="H393" s="33"/>
      <c r="I393" s="26" t="s">
        <v>19</v>
      </c>
      <c r="J393" s="26" t="s">
        <v>1670</v>
      </c>
      <c r="K393" s="26" t="s">
        <v>2554</v>
      </c>
      <c r="L393" s="26"/>
      <c r="M393" s="32"/>
      <c r="N393" s="32"/>
      <c r="O393" s="37"/>
      <c r="P393" s="35"/>
      <c r="Q393" s="35"/>
    </row>
    <row r="394">
      <c r="A394" s="8">
        <v>10.0</v>
      </c>
      <c r="B394" s="2">
        <v>13.0</v>
      </c>
      <c r="C394" s="2" t="s">
        <v>1973</v>
      </c>
      <c r="D394" s="12" t="s">
        <v>59</v>
      </c>
      <c r="E394" s="2" t="s">
        <v>8</v>
      </c>
      <c r="F394" s="33" t="s">
        <v>1672</v>
      </c>
      <c r="G394" s="33" t="s">
        <v>1673</v>
      </c>
      <c r="H394" s="33"/>
      <c r="I394" s="26" t="s">
        <v>8</v>
      </c>
      <c r="J394" s="26" t="s">
        <v>1672</v>
      </c>
      <c r="K394" s="26" t="s">
        <v>1673</v>
      </c>
      <c r="L394" s="26"/>
      <c r="M394" s="32" t="s">
        <v>1979</v>
      </c>
      <c r="N394" s="32" t="s">
        <v>1979</v>
      </c>
      <c r="O394" s="37"/>
      <c r="P394" s="35"/>
      <c r="Q394" s="35"/>
    </row>
    <row r="395">
      <c r="A395" s="8">
        <v>10.0</v>
      </c>
      <c r="B395" s="2">
        <v>13.0</v>
      </c>
      <c r="C395" s="2" t="s">
        <v>1973</v>
      </c>
      <c r="D395" s="12" t="s">
        <v>59</v>
      </c>
      <c r="E395" s="2" t="s">
        <v>19</v>
      </c>
      <c r="F395" s="33" t="s">
        <v>1674</v>
      </c>
      <c r="G395" s="33" t="s">
        <v>2555</v>
      </c>
      <c r="H395" s="33"/>
      <c r="I395" s="26" t="s">
        <v>19</v>
      </c>
      <c r="J395" s="26" t="s">
        <v>1674</v>
      </c>
      <c r="K395" s="26" t="s">
        <v>1675</v>
      </c>
      <c r="L395" s="26"/>
      <c r="M395" s="32"/>
      <c r="N395" s="32"/>
      <c r="O395" s="37"/>
      <c r="P395" s="35"/>
      <c r="Q395" s="35"/>
    </row>
    <row r="396">
      <c r="A396" s="8">
        <v>10.0</v>
      </c>
      <c r="B396" s="2">
        <v>15.0</v>
      </c>
      <c r="C396" s="2" t="s">
        <v>1973</v>
      </c>
      <c r="D396" s="2" t="s">
        <v>40</v>
      </c>
      <c r="E396" s="2" t="s">
        <v>19</v>
      </c>
      <c r="F396" s="33" t="s">
        <v>2556</v>
      </c>
      <c r="G396" s="33" t="s">
        <v>2557</v>
      </c>
      <c r="H396" s="33" t="s">
        <v>2558</v>
      </c>
      <c r="I396" s="26" t="s">
        <v>19</v>
      </c>
      <c r="J396" s="26" t="s">
        <v>2556</v>
      </c>
      <c r="K396" s="26" t="s">
        <v>2557</v>
      </c>
      <c r="L396" s="26"/>
      <c r="M396" s="32" t="s">
        <v>1979</v>
      </c>
      <c r="N396" s="32" t="s">
        <v>1979</v>
      </c>
      <c r="O396" s="37"/>
      <c r="P396" s="35"/>
      <c r="Q396" s="35"/>
    </row>
    <row r="397">
      <c r="A397" s="8">
        <v>10.0</v>
      </c>
      <c r="B397" s="2">
        <v>15.0</v>
      </c>
      <c r="C397" s="2" t="s">
        <v>1973</v>
      </c>
      <c r="D397" s="2" t="s">
        <v>40</v>
      </c>
      <c r="E397" s="2" t="s">
        <v>19</v>
      </c>
      <c r="F397" s="33" t="s">
        <v>661</v>
      </c>
      <c r="G397" s="33" t="s">
        <v>2559</v>
      </c>
      <c r="H397" s="33"/>
      <c r="I397" s="26" t="s">
        <v>19</v>
      </c>
      <c r="J397" s="26" t="s">
        <v>661</v>
      </c>
      <c r="K397" s="26" t="s">
        <v>2559</v>
      </c>
      <c r="L397" s="26"/>
      <c r="M397" s="32" t="s">
        <v>1979</v>
      </c>
      <c r="N397" s="32" t="s">
        <v>1979</v>
      </c>
      <c r="O397" s="37"/>
      <c r="P397" s="35"/>
      <c r="Q397" s="35"/>
    </row>
    <row r="398">
      <c r="A398" s="8">
        <v>10.0</v>
      </c>
      <c r="B398" s="2">
        <v>15.0</v>
      </c>
      <c r="C398" s="2" t="s">
        <v>1973</v>
      </c>
      <c r="D398" s="2" t="s">
        <v>40</v>
      </c>
      <c r="E398" s="2" t="s">
        <v>19</v>
      </c>
      <c r="F398" s="33" t="s">
        <v>663</v>
      </c>
      <c r="G398" s="33" t="s">
        <v>2560</v>
      </c>
      <c r="H398" s="33"/>
      <c r="I398" s="26" t="s">
        <v>19</v>
      </c>
      <c r="J398" s="26" t="s">
        <v>663</v>
      </c>
      <c r="K398" s="26" t="s">
        <v>2561</v>
      </c>
      <c r="L398" s="26"/>
      <c r="M398" s="32"/>
      <c r="N398" s="32"/>
      <c r="O398" s="37"/>
      <c r="P398" s="35"/>
      <c r="Q398" s="35"/>
    </row>
    <row r="399">
      <c r="A399" s="8">
        <v>10.0</v>
      </c>
      <c r="B399" s="2">
        <v>15.0</v>
      </c>
      <c r="C399" s="2" t="s">
        <v>1973</v>
      </c>
      <c r="D399" s="2" t="s">
        <v>40</v>
      </c>
      <c r="E399" s="2" t="s">
        <v>19</v>
      </c>
      <c r="F399" s="33" t="s">
        <v>2562</v>
      </c>
      <c r="G399" s="33" t="s">
        <v>2563</v>
      </c>
      <c r="H399" s="33"/>
      <c r="I399" s="26" t="s">
        <v>19</v>
      </c>
      <c r="J399" s="26" t="s">
        <v>2562</v>
      </c>
      <c r="K399" s="26" t="s">
        <v>2564</v>
      </c>
      <c r="L399" s="26"/>
      <c r="M399" s="32"/>
      <c r="N399" s="32"/>
      <c r="O399" s="37"/>
      <c r="P399" s="35"/>
      <c r="Q399" s="35"/>
    </row>
    <row r="400">
      <c r="A400" s="8">
        <v>10.0</v>
      </c>
      <c r="B400" s="2">
        <v>15.0</v>
      </c>
      <c r="C400" s="2" t="s">
        <v>1973</v>
      </c>
      <c r="D400" s="2" t="s">
        <v>40</v>
      </c>
      <c r="E400" s="2" t="s">
        <v>19</v>
      </c>
      <c r="F400" s="33" t="s">
        <v>2565</v>
      </c>
      <c r="G400" s="33" t="s">
        <v>2566</v>
      </c>
      <c r="H400" s="33"/>
      <c r="I400" s="26" t="s">
        <v>19</v>
      </c>
      <c r="J400" s="26" t="s">
        <v>2565</v>
      </c>
      <c r="K400" s="26" t="s">
        <v>2566</v>
      </c>
      <c r="L400" s="26"/>
      <c r="M400" s="32"/>
      <c r="N400" s="32"/>
      <c r="O400" s="37"/>
      <c r="P400" s="35"/>
      <c r="Q400" s="35"/>
    </row>
    <row r="401">
      <c r="A401" s="8">
        <v>10.0</v>
      </c>
      <c r="B401" s="2">
        <v>16.0</v>
      </c>
      <c r="C401" s="2" t="s">
        <v>1967</v>
      </c>
      <c r="D401" s="2" t="s">
        <v>28</v>
      </c>
      <c r="E401" s="2" t="s">
        <v>19</v>
      </c>
      <c r="F401" s="33" t="s">
        <v>667</v>
      </c>
      <c r="G401" s="33" t="s">
        <v>2567</v>
      </c>
      <c r="H401" s="33"/>
      <c r="I401" s="26" t="s">
        <v>8</v>
      </c>
      <c r="J401" s="26" t="s">
        <v>667</v>
      </c>
      <c r="K401" s="26" t="s">
        <v>2567</v>
      </c>
      <c r="L401" s="26"/>
      <c r="M401" s="32"/>
      <c r="N401" s="32"/>
      <c r="O401" s="37"/>
      <c r="P401" s="35"/>
      <c r="Q401" s="35"/>
    </row>
    <row r="402">
      <c r="A402" s="22">
        <v>10.0</v>
      </c>
      <c r="B402" s="22">
        <v>17.0</v>
      </c>
      <c r="C402" s="2" t="s">
        <v>1971</v>
      </c>
      <c r="D402" s="2" t="s">
        <v>28</v>
      </c>
      <c r="E402" s="2" t="s">
        <v>8</v>
      </c>
      <c r="F402" s="33" t="s">
        <v>1133</v>
      </c>
      <c r="G402" s="33" t="s">
        <v>2568</v>
      </c>
      <c r="H402" s="33"/>
      <c r="I402" s="26" t="s">
        <v>8</v>
      </c>
      <c r="J402" s="26" t="s">
        <v>1133</v>
      </c>
      <c r="K402" s="26" t="s">
        <v>2568</v>
      </c>
      <c r="L402" s="26"/>
      <c r="M402" s="32" t="s">
        <v>1979</v>
      </c>
      <c r="N402" s="32" t="s">
        <v>1979</v>
      </c>
      <c r="O402" s="37"/>
      <c r="P402" s="35"/>
      <c r="Q402" s="35"/>
    </row>
    <row r="403">
      <c r="A403" s="22">
        <v>10.0</v>
      </c>
      <c r="B403" s="22">
        <v>17.0</v>
      </c>
      <c r="C403" s="2" t="s">
        <v>1971</v>
      </c>
      <c r="D403" s="2" t="s">
        <v>28</v>
      </c>
      <c r="E403" s="2" t="s">
        <v>19</v>
      </c>
      <c r="F403" s="33" t="s">
        <v>1135</v>
      </c>
      <c r="G403" s="33" t="s">
        <v>1679</v>
      </c>
      <c r="H403" s="33"/>
      <c r="I403" s="26" t="s">
        <v>19</v>
      </c>
      <c r="J403" s="26" t="s">
        <v>1678</v>
      </c>
      <c r="K403" s="26" t="s">
        <v>1679</v>
      </c>
      <c r="L403" s="26"/>
      <c r="M403" s="32"/>
      <c r="N403" s="32"/>
      <c r="O403" s="37"/>
      <c r="P403" s="35"/>
      <c r="Q403" s="35"/>
    </row>
    <row r="404">
      <c r="A404" s="8">
        <v>10.0</v>
      </c>
      <c r="B404" s="2">
        <v>19.0</v>
      </c>
      <c r="C404" s="2" t="s">
        <v>1973</v>
      </c>
      <c r="D404" s="12" t="s">
        <v>47</v>
      </c>
      <c r="E404" s="2" t="s">
        <v>8</v>
      </c>
      <c r="F404" s="33" t="s">
        <v>2569</v>
      </c>
      <c r="G404" s="33" t="s">
        <v>2570</v>
      </c>
      <c r="H404" s="33"/>
      <c r="I404" s="26" t="s">
        <v>8</v>
      </c>
      <c r="J404" s="26" t="s">
        <v>2569</v>
      </c>
      <c r="K404" s="26" t="s">
        <v>2570</v>
      </c>
      <c r="L404" s="26"/>
      <c r="M404" s="32"/>
      <c r="N404" s="32"/>
      <c r="O404" s="37"/>
      <c r="P404" s="35"/>
      <c r="Q404" s="35"/>
    </row>
    <row r="405">
      <c r="A405" s="8">
        <v>10.0</v>
      </c>
      <c r="B405" s="2">
        <v>19.0</v>
      </c>
      <c r="C405" s="2" t="s">
        <v>1973</v>
      </c>
      <c r="D405" s="12" t="s">
        <v>47</v>
      </c>
      <c r="E405" s="2" t="s">
        <v>8</v>
      </c>
      <c r="F405" s="33" t="s">
        <v>2571</v>
      </c>
      <c r="G405" s="33" t="s">
        <v>2572</v>
      </c>
      <c r="H405" s="33"/>
      <c r="I405" s="26" t="s">
        <v>8</v>
      </c>
      <c r="J405" s="26" t="s">
        <v>2571</v>
      </c>
      <c r="K405" s="26" t="s">
        <v>2572</v>
      </c>
      <c r="L405" s="26"/>
      <c r="M405" s="32" t="s">
        <v>1979</v>
      </c>
      <c r="N405" s="32" t="s">
        <v>1979</v>
      </c>
      <c r="O405" s="37"/>
      <c r="P405" s="35"/>
      <c r="Q405" s="35"/>
    </row>
    <row r="406">
      <c r="A406" s="8">
        <v>10.0</v>
      </c>
      <c r="B406" s="2">
        <v>19.0</v>
      </c>
      <c r="C406" s="2" t="s">
        <v>1973</v>
      </c>
      <c r="D406" s="12" t="s">
        <v>47</v>
      </c>
      <c r="E406" s="2" t="s">
        <v>8</v>
      </c>
      <c r="F406" s="33" t="s">
        <v>673</v>
      </c>
      <c r="G406" s="33" t="s">
        <v>2573</v>
      </c>
      <c r="H406" s="33"/>
      <c r="I406" s="26" t="s">
        <v>8</v>
      </c>
      <c r="J406" s="26" t="s">
        <v>673</v>
      </c>
      <c r="K406" s="26" t="s">
        <v>674</v>
      </c>
      <c r="L406" s="26"/>
      <c r="M406" s="32" t="s">
        <v>1979</v>
      </c>
      <c r="N406" s="32" t="s">
        <v>1979</v>
      </c>
      <c r="O406" s="37"/>
      <c r="P406" s="35"/>
      <c r="Q406" s="35"/>
    </row>
    <row r="407">
      <c r="A407" s="8">
        <v>10.0</v>
      </c>
      <c r="B407" s="2">
        <v>20.0</v>
      </c>
      <c r="C407" s="2" t="s">
        <v>1973</v>
      </c>
      <c r="D407" s="2" t="s">
        <v>72</v>
      </c>
      <c r="E407" s="2" t="s">
        <v>19</v>
      </c>
      <c r="F407" s="33" t="s">
        <v>1685</v>
      </c>
      <c r="G407" s="33" t="s">
        <v>2574</v>
      </c>
      <c r="H407" s="33"/>
      <c r="I407" s="26" t="s">
        <v>19</v>
      </c>
      <c r="J407" s="26" t="s">
        <v>1685</v>
      </c>
      <c r="K407" s="26" t="s">
        <v>2574</v>
      </c>
      <c r="L407" s="26"/>
      <c r="M407" s="32"/>
      <c r="N407" s="32"/>
      <c r="O407" s="37"/>
      <c r="P407" s="35"/>
      <c r="Q407" s="35"/>
    </row>
    <row r="408">
      <c r="A408" s="8">
        <v>10.0</v>
      </c>
      <c r="B408" s="2">
        <v>21.0</v>
      </c>
      <c r="C408" s="2" t="s">
        <v>1967</v>
      </c>
      <c r="D408" s="2" t="s">
        <v>72</v>
      </c>
      <c r="E408" s="2" t="s">
        <v>19</v>
      </c>
      <c r="F408" s="33" t="s">
        <v>1137</v>
      </c>
      <c r="G408" s="33" t="s">
        <v>1138</v>
      </c>
      <c r="H408" s="33"/>
      <c r="I408" s="26" t="s">
        <v>19</v>
      </c>
      <c r="J408" s="26" t="s">
        <v>1137</v>
      </c>
      <c r="K408" s="26" t="s">
        <v>1138</v>
      </c>
      <c r="L408" s="26"/>
      <c r="M408" s="32"/>
      <c r="N408" s="32"/>
      <c r="O408" s="37"/>
      <c r="P408" s="35"/>
      <c r="Q408" s="35"/>
    </row>
    <row r="409">
      <c r="A409" s="22">
        <v>10.0</v>
      </c>
      <c r="B409" s="22">
        <v>22.0</v>
      </c>
      <c r="C409" s="2" t="s">
        <v>1971</v>
      </c>
      <c r="D409" s="2" t="s">
        <v>33</v>
      </c>
      <c r="E409" s="2" t="s">
        <v>19</v>
      </c>
      <c r="F409" s="33" t="s">
        <v>1687</v>
      </c>
      <c r="G409" s="33" t="s">
        <v>1688</v>
      </c>
      <c r="H409" s="33"/>
      <c r="I409" s="26" t="s">
        <v>19</v>
      </c>
      <c r="J409" s="26" t="s">
        <v>1687</v>
      </c>
      <c r="K409" s="26" t="s">
        <v>1688</v>
      </c>
      <c r="L409" s="26"/>
      <c r="M409" s="32" t="s">
        <v>1979</v>
      </c>
      <c r="N409" s="32" t="s">
        <v>1979</v>
      </c>
      <c r="O409" s="37"/>
      <c r="P409" s="35"/>
      <c r="Q409" s="35"/>
    </row>
    <row r="410">
      <c r="A410" s="8">
        <v>10.0</v>
      </c>
      <c r="B410" s="2">
        <v>23.0</v>
      </c>
      <c r="C410" s="2" t="s">
        <v>1973</v>
      </c>
      <c r="D410" s="2" t="s">
        <v>33</v>
      </c>
      <c r="E410" s="2" t="s">
        <v>19</v>
      </c>
      <c r="F410" s="33" t="s">
        <v>679</v>
      </c>
      <c r="G410" s="33" t="s">
        <v>2575</v>
      </c>
      <c r="H410" s="33"/>
      <c r="I410" s="26" t="s">
        <v>19</v>
      </c>
      <c r="J410" s="26" t="s">
        <v>679</v>
      </c>
      <c r="K410" s="26" t="s">
        <v>2575</v>
      </c>
      <c r="L410" s="26"/>
      <c r="M410" s="32"/>
      <c r="N410" s="32"/>
      <c r="O410" s="37"/>
      <c r="P410" s="35"/>
      <c r="Q410" s="35"/>
    </row>
    <row r="411">
      <c r="A411" s="8">
        <v>10.0</v>
      </c>
      <c r="B411" s="2">
        <v>24.0</v>
      </c>
      <c r="C411" s="2" t="s">
        <v>1973</v>
      </c>
      <c r="D411" s="2" t="s">
        <v>33</v>
      </c>
      <c r="E411" s="2" t="s">
        <v>19</v>
      </c>
      <c r="F411" s="33" t="s">
        <v>681</v>
      </c>
      <c r="G411" s="33" t="s">
        <v>2576</v>
      </c>
      <c r="H411" s="33"/>
      <c r="I411" s="26" t="s">
        <v>19</v>
      </c>
      <c r="J411" s="26" t="s">
        <v>681</v>
      </c>
      <c r="K411" s="26" t="s">
        <v>2576</v>
      </c>
      <c r="L411" s="26"/>
      <c r="M411" s="32" t="s">
        <v>1979</v>
      </c>
      <c r="N411" s="32" t="s">
        <v>1979</v>
      </c>
      <c r="O411" s="37"/>
      <c r="P411" s="35"/>
      <c r="Q411" s="35"/>
    </row>
    <row r="412">
      <c r="A412" s="8">
        <v>10.0</v>
      </c>
      <c r="B412" s="2">
        <v>24.0</v>
      </c>
      <c r="C412" s="2" t="s">
        <v>1973</v>
      </c>
      <c r="D412" s="2" t="s">
        <v>33</v>
      </c>
      <c r="E412" s="2" t="s">
        <v>8</v>
      </c>
      <c r="F412" s="33" t="s">
        <v>683</v>
      </c>
      <c r="G412" s="33" t="s">
        <v>2577</v>
      </c>
      <c r="H412" s="33"/>
      <c r="I412" s="26" t="s">
        <v>8</v>
      </c>
      <c r="J412" s="26" t="s">
        <v>683</v>
      </c>
      <c r="K412" s="26" t="s">
        <v>2577</v>
      </c>
      <c r="L412" s="26"/>
      <c r="M412" s="32"/>
      <c r="N412" s="32"/>
      <c r="O412" s="37"/>
      <c r="P412" s="35"/>
      <c r="Q412" s="35"/>
    </row>
    <row r="413">
      <c r="A413" s="8">
        <v>10.0</v>
      </c>
      <c r="B413" s="2">
        <v>25.0</v>
      </c>
      <c r="C413" s="2" t="s">
        <v>1973</v>
      </c>
      <c r="D413" s="2" t="s">
        <v>54</v>
      </c>
      <c r="E413" s="2" t="s">
        <v>8</v>
      </c>
      <c r="F413" s="33" t="s">
        <v>685</v>
      </c>
      <c r="G413" s="33" t="s">
        <v>2578</v>
      </c>
      <c r="H413" s="33"/>
      <c r="I413" s="26" t="s">
        <v>8</v>
      </c>
      <c r="J413" s="26" t="s">
        <v>685</v>
      </c>
      <c r="K413" s="26" t="s">
        <v>2578</v>
      </c>
      <c r="L413" s="26"/>
      <c r="M413" s="32" t="s">
        <v>1979</v>
      </c>
      <c r="N413" s="32" t="s">
        <v>1979</v>
      </c>
      <c r="O413" s="37"/>
      <c r="P413" s="35"/>
      <c r="Q413" s="35"/>
    </row>
    <row r="414">
      <c r="A414" s="8">
        <v>10.0</v>
      </c>
      <c r="B414" s="2">
        <v>25.0</v>
      </c>
      <c r="C414" s="2" t="s">
        <v>1973</v>
      </c>
      <c r="D414" s="2" t="s">
        <v>54</v>
      </c>
      <c r="E414" s="2" t="s">
        <v>19</v>
      </c>
      <c r="F414" s="33" t="s">
        <v>1699</v>
      </c>
      <c r="G414" s="33" t="s">
        <v>1700</v>
      </c>
      <c r="H414" s="33"/>
      <c r="I414" s="26" t="s">
        <v>19</v>
      </c>
      <c r="J414" s="26" t="s">
        <v>1699</v>
      </c>
      <c r="K414" s="26" t="s">
        <v>1700</v>
      </c>
      <c r="L414" s="26"/>
      <c r="M414" s="32" t="s">
        <v>1979</v>
      </c>
      <c r="N414" s="32" t="s">
        <v>1979</v>
      </c>
      <c r="O414" s="37"/>
      <c r="P414" s="35"/>
      <c r="Q414" s="35"/>
    </row>
    <row r="415">
      <c r="A415" s="8">
        <v>10.0</v>
      </c>
      <c r="B415" s="2">
        <v>25.0</v>
      </c>
      <c r="C415" s="2" t="s">
        <v>1973</v>
      </c>
      <c r="D415" s="2" t="s">
        <v>54</v>
      </c>
      <c r="E415" s="2" t="s">
        <v>19</v>
      </c>
      <c r="F415" s="33" t="s">
        <v>1701</v>
      </c>
      <c r="G415" s="33" t="s">
        <v>1702</v>
      </c>
      <c r="H415" s="33"/>
      <c r="I415" s="26" t="s">
        <v>19</v>
      </c>
      <c r="J415" s="26" t="s">
        <v>1701</v>
      </c>
      <c r="K415" s="26" t="s">
        <v>1702</v>
      </c>
      <c r="L415" s="26"/>
      <c r="M415" s="32" t="s">
        <v>1979</v>
      </c>
      <c r="N415" s="32" t="s">
        <v>1979</v>
      </c>
      <c r="O415" s="37"/>
      <c r="P415" s="35"/>
      <c r="Q415" s="35"/>
    </row>
    <row r="416">
      <c r="A416" s="8">
        <v>10.0</v>
      </c>
      <c r="B416" s="2">
        <v>26.0</v>
      </c>
      <c r="C416" s="2" t="s">
        <v>1967</v>
      </c>
      <c r="D416" s="2" t="s">
        <v>54</v>
      </c>
      <c r="E416" s="2" t="s">
        <v>19</v>
      </c>
      <c r="F416" s="33" t="s">
        <v>1143</v>
      </c>
      <c r="G416" s="33" t="s">
        <v>2579</v>
      </c>
      <c r="H416" s="33"/>
      <c r="I416" s="26" t="s">
        <v>19</v>
      </c>
      <c r="J416" s="26" t="s">
        <v>1143</v>
      </c>
      <c r="K416" s="26" t="s">
        <v>2579</v>
      </c>
      <c r="L416" s="26"/>
      <c r="M416" s="32" t="s">
        <v>1979</v>
      </c>
      <c r="N416" s="32" t="s">
        <v>1979</v>
      </c>
      <c r="O416" s="37"/>
      <c r="P416" s="35"/>
      <c r="Q416" s="35"/>
    </row>
    <row r="417">
      <c r="A417" s="22">
        <v>10.0</v>
      </c>
      <c r="B417" s="22">
        <v>27.0</v>
      </c>
      <c r="C417" s="2" t="s">
        <v>1971</v>
      </c>
      <c r="D417" s="2" t="s">
        <v>54</v>
      </c>
      <c r="E417" s="2" t="s">
        <v>8</v>
      </c>
      <c r="F417" s="33" t="s">
        <v>2580</v>
      </c>
      <c r="G417" s="33" t="s">
        <v>2581</v>
      </c>
      <c r="H417" s="33"/>
      <c r="I417" s="26" t="s">
        <v>8</v>
      </c>
      <c r="J417" s="26" t="s">
        <v>2580</v>
      </c>
      <c r="K417" s="26" t="s">
        <v>2581</v>
      </c>
      <c r="L417" s="26"/>
      <c r="M417" s="32"/>
      <c r="N417" s="32"/>
      <c r="O417" s="37"/>
      <c r="P417" s="35"/>
      <c r="Q417" s="35"/>
    </row>
    <row r="418">
      <c r="A418" s="22">
        <v>10.0</v>
      </c>
      <c r="B418" s="22">
        <v>27.0</v>
      </c>
      <c r="C418" s="2" t="s">
        <v>1971</v>
      </c>
      <c r="D418" s="2" t="s">
        <v>54</v>
      </c>
      <c r="E418" s="2" t="s">
        <v>19</v>
      </c>
      <c r="F418" s="33" t="s">
        <v>2582</v>
      </c>
      <c r="G418" s="33" t="s">
        <v>2583</v>
      </c>
      <c r="H418" s="33"/>
      <c r="I418" s="26" t="s">
        <v>19</v>
      </c>
      <c r="J418" s="26" t="s">
        <v>2582</v>
      </c>
      <c r="K418" s="26" t="s">
        <v>2583</v>
      </c>
      <c r="L418" s="26"/>
      <c r="M418" s="32"/>
      <c r="N418" s="32"/>
      <c r="O418" s="37"/>
      <c r="P418" s="35"/>
      <c r="Q418" s="35"/>
    </row>
    <row r="419">
      <c r="A419" s="8">
        <v>10.0</v>
      </c>
      <c r="B419" s="2">
        <v>28.0</v>
      </c>
      <c r="C419" s="2" t="s">
        <v>1973</v>
      </c>
      <c r="D419" s="2" t="s">
        <v>176</v>
      </c>
      <c r="E419" s="2" t="s">
        <v>8</v>
      </c>
      <c r="F419" s="33" t="s">
        <v>689</v>
      </c>
      <c r="G419" s="33" t="s">
        <v>2584</v>
      </c>
      <c r="H419" s="33"/>
      <c r="I419" s="26" t="s">
        <v>8</v>
      </c>
      <c r="J419" s="26" t="s">
        <v>689</v>
      </c>
      <c r="K419" s="26" t="s">
        <v>2584</v>
      </c>
      <c r="L419" s="26"/>
      <c r="M419" s="32" t="s">
        <v>1979</v>
      </c>
      <c r="N419" s="32" t="s">
        <v>1979</v>
      </c>
      <c r="O419" s="37"/>
      <c r="P419" s="35"/>
      <c r="Q419" s="35"/>
    </row>
    <row r="420">
      <c r="A420" s="8">
        <v>10.0</v>
      </c>
      <c r="B420" s="2">
        <v>28.0</v>
      </c>
      <c r="C420" s="2" t="s">
        <v>1973</v>
      </c>
      <c r="D420" s="2" t="s">
        <v>176</v>
      </c>
      <c r="E420" s="2" t="s">
        <v>19</v>
      </c>
      <c r="F420" s="33" t="s">
        <v>2585</v>
      </c>
      <c r="G420" s="33" t="s">
        <v>2586</v>
      </c>
      <c r="H420" s="33"/>
      <c r="I420" s="26" t="s">
        <v>19</v>
      </c>
      <c r="J420" s="26" t="s">
        <v>2585</v>
      </c>
      <c r="K420" s="26" t="s">
        <v>2586</v>
      </c>
      <c r="L420" s="26"/>
      <c r="M420" s="32" t="s">
        <v>1979</v>
      </c>
      <c r="N420" s="32" t="s">
        <v>1979</v>
      </c>
      <c r="O420" s="37"/>
      <c r="P420" s="35"/>
      <c r="Q420" s="35"/>
    </row>
    <row r="421">
      <c r="A421" s="8">
        <v>10.0</v>
      </c>
      <c r="B421" s="2">
        <v>28.0</v>
      </c>
      <c r="C421" s="2" t="s">
        <v>1973</v>
      </c>
      <c r="D421" s="2" t="s">
        <v>176</v>
      </c>
      <c r="E421" s="2" t="s">
        <v>19</v>
      </c>
      <c r="F421" s="33" t="s">
        <v>2587</v>
      </c>
      <c r="G421" s="33" t="s">
        <v>2588</v>
      </c>
      <c r="H421" s="33"/>
      <c r="I421" s="26" t="s">
        <v>19</v>
      </c>
      <c r="J421" s="26" t="s">
        <v>2587</v>
      </c>
      <c r="K421" s="26" t="s">
        <v>2588</v>
      </c>
      <c r="L421" s="26"/>
      <c r="M421" s="32"/>
      <c r="N421" s="32"/>
      <c r="O421" s="37"/>
      <c r="P421" s="35"/>
      <c r="Q421" s="35"/>
    </row>
    <row r="422">
      <c r="A422" s="8">
        <v>10.0</v>
      </c>
      <c r="B422" s="2">
        <v>28.0</v>
      </c>
      <c r="C422" s="2" t="s">
        <v>1973</v>
      </c>
      <c r="D422" s="2" t="s">
        <v>176</v>
      </c>
      <c r="E422" s="2" t="s">
        <v>19</v>
      </c>
      <c r="F422" s="33" t="s">
        <v>2589</v>
      </c>
      <c r="G422" s="33" t="s">
        <v>2590</v>
      </c>
      <c r="H422" s="33"/>
      <c r="I422" s="26" t="s">
        <v>19</v>
      </c>
      <c r="J422" s="26" t="s">
        <v>2589</v>
      </c>
      <c r="K422" s="26" t="s">
        <v>2590</v>
      </c>
      <c r="L422" s="26"/>
      <c r="M422" s="32"/>
      <c r="N422" s="32"/>
      <c r="O422" s="37"/>
      <c r="P422" s="35"/>
      <c r="Q422" s="35"/>
    </row>
    <row r="423">
      <c r="A423" s="8">
        <v>10.0</v>
      </c>
      <c r="B423" s="2">
        <v>28.0</v>
      </c>
      <c r="C423" s="2" t="s">
        <v>1973</v>
      </c>
      <c r="D423" s="2" t="s">
        <v>176</v>
      </c>
      <c r="E423" s="2" t="s">
        <v>8</v>
      </c>
      <c r="F423" s="33" t="s">
        <v>693</v>
      </c>
      <c r="G423" s="33" t="s">
        <v>2591</v>
      </c>
      <c r="H423" s="33"/>
      <c r="I423" s="26" t="s">
        <v>8</v>
      </c>
      <c r="J423" s="26" t="s">
        <v>1703</v>
      </c>
      <c r="K423" s="26" t="s">
        <v>2591</v>
      </c>
      <c r="L423" s="26"/>
      <c r="M423" s="32"/>
      <c r="N423" s="32"/>
      <c r="O423" s="37"/>
      <c r="P423" s="35"/>
      <c r="Q423" s="35"/>
    </row>
    <row r="424">
      <c r="A424" s="8">
        <v>10.0</v>
      </c>
      <c r="B424" s="2">
        <v>30.0</v>
      </c>
      <c r="C424" s="2" t="s">
        <v>1973</v>
      </c>
      <c r="D424" s="2" t="s">
        <v>176</v>
      </c>
      <c r="E424" s="2" t="s">
        <v>8</v>
      </c>
      <c r="F424" s="33" t="s">
        <v>695</v>
      </c>
      <c r="G424" s="33" t="s">
        <v>2592</v>
      </c>
      <c r="H424" s="33"/>
      <c r="I424" s="26" t="s">
        <v>8</v>
      </c>
      <c r="J424" s="26" t="s">
        <v>695</v>
      </c>
      <c r="K424" s="26" t="s">
        <v>2592</v>
      </c>
      <c r="L424" s="26"/>
      <c r="M424" s="32" t="s">
        <v>1979</v>
      </c>
      <c r="N424" s="32" t="s">
        <v>1979</v>
      </c>
      <c r="O424" s="37"/>
      <c r="P424" s="35"/>
      <c r="Q424" s="35"/>
    </row>
    <row r="425">
      <c r="A425" s="22">
        <v>11.0</v>
      </c>
      <c r="B425" s="22">
        <v>2.0</v>
      </c>
      <c r="C425" s="2" t="s">
        <v>1971</v>
      </c>
      <c r="D425" s="2" t="s">
        <v>451</v>
      </c>
      <c r="E425" s="2" t="s">
        <v>19</v>
      </c>
      <c r="F425" s="33" t="s">
        <v>1149</v>
      </c>
      <c r="G425" s="33" t="s">
        <v>1150</v>
      </c>
      <c r="H425" s="33"/>
      <c r="I425" s="26" t="s">
        <v>19</v>
      </c>
      <c r="J425" s="26" t="s">
        <v>1149</v>
      </c>
      <c r="K425" s="26" t="s">
        <v>2593</v>
      </c>
      <c r="L425" s="26"/>
      <c r="M425" s="32" t="s">
        <v>1979</v>
      </c>
      <c r="N425" s="32" t="s">
        <v>1979</v>
      </c>
      <c r="O425" s="37"/>
      <c r="P425" s="35"/>
      <c r="Q425" s="35"/>
    </row>
    <row r="426">
      <c r="A426" s="44">
        <v>11.0</v>
      </c>
      <c r="B426" s="40">
        <v>3.0</v>
      </c>
      <c r="C426" s="40" t="s">
        <v>1973</v>
      </c>
      <c r="D426" s="40" t="s">
        <v>7</v>
      </c>
      <c r="E426" s="2" t="s">
        <v>8</v>
      </c>
      <c r="F426" s="33" t="s">
        <v>1705</v>
      </c>
      <c r="G426" s="33" t="s">
        <v>1706</v>
      </c>
      <c r="H426" s="33"/>
      <c r="I426" s="26" t="s">
        <v>8</v>
      </c>
      <c r="J426" s="26" t="s">
        <v>1705</v>
      </c>
      <c r="K426" s="26" t="s">
        <v>1706</v>
      </c>
      <c r="L426" s="26" t="s">
        <v>2594</v>
      </c>
      <c r="M426" s="32" t="s">
        <v>1979</v>
      </c>
      <c r="N426" s="32" t="s">
        <v>1979</v>
      </c>
      <c r="O426" s="37"/>
      <c r="P426" s="35"/>
      <c r="Q426" s="35"/>
    </row>
    <row r="427">
      <c r="A427" s="8">
        <v>11.0</v>
      </c>
      <c r="B427" s="2">
        <v>3.0</v>
      </c>
      <c r="C427" s="2" t="s">
        <v>1973</v>
      </c>
      <c r="D427" s="2" t="s">
        <v>7</v>
      </c>
      <c r="E427" s="2" t="s">
        <v>19</v>
      </c>
      <c r="F427" s="33" t="s">
        <v>2595</v>
      </c>
      <c r="G427" s="33" t="s">
        <v>2596</v>
      </c>
      <c r="H427" s="33"/>
      <c r="I427" s="26" t="s">
        <v>19</v>
      </c>
      <c r="J427" s="26" t="s">
        <v>2595</v>
      </c>
      <c r="K427" s="26" t="s">
        <v>2597</v>
      </c>
      <c r="L427" s="26"/>
      <c r="M427" s="32" t="s">
        <v>1979</v>
      </c>
      <c r="N427" s="32" t="s">
        <v>1979</v>
      </c>
      <c r="O427" s="37"/>
      <c r="P427" s="35"/>
      <c r="Q427" s="35"/>
    </row>
    <row r="428">
      <c r="A428" s="8">
        <v>11.0</v>
      </c>
      <c r="B428" s="2">
        <v>4.0</v>
      </c>
      <c r="C428" s="2" t="s">
        <v>1973</v>
      </c>
      <c r="D428" s="2" t="s">
        <v>7</v>
      </c>
      <c r="E428" s="2" t="s">
        <v>19</v>
      </c>
      <c r="F428" s="33" t="s">
        <v>703</v>
      </c>
      <c r="G428" s="33" t="s">
        <v>2598</v>
      </c>
      <c r="H428" s="33"/>
      <c r="I428" s="26" t="s">
        <v>19</v>
      </c>
      <c r="J428" s="26" t="s">
        <v>703</v>
      </c>
      <c r="K428" s="26" t="s">
        <v>704</v>
      </c>
      <c r="L428" s="26"/>
      <c r="M428" s="32" t="s">
        <v>1979</v>
      </c>
      <c r="N428" s="32" t="s">
        <v>1979</v>
      </c>
      <c r="O428" s="37"/>
      <c r="P428" s="35"/>
      <c r="Q428" s="35"/>
    </row>
    <row r="429">
      <c r="A429" s="8">
        <v>11.0</v>
      </c>
      <c r="B429" s="2">
        <v>4.0</v>
      </c>
      <c r="C429" s="2" t="s">
        <v>1973</v>
      </c>
      <c r="D429" s="2" t="s">
        <v>7</v>
      </c>
      <c r="E429" s="2" t="s">
        <v>19</v>
      </c>
      <c r="F429" s="33" t="s">
        <v>1707</v>
      </c>
      <c r="G429" s="33" t="s">
        <v>1708</v>
      </c>
      <c r="H429" s="33"/>
      <c r="I429" s="26" t="s">
        <v>19</v>
      </c>
      <c r="J429" s="26" t="s">
        <v>1707</v>
      </c>
      <c r="K429" s="26" t="s">
        <v>1708</v>
      </c>
      <c r="L429" s="26"/>
      <c r="M429" s="32" t="s">
        <v>1979</v>
      </c>
      <c r="N429" s="32" t="s">
        <v>1979</v>
      </c>
      <c r="O429" s="37"/>
      <c r="P429" s="35"/>
      <c r="Q429" s="35"/>
    </row>
    <row r="430">
      <c r="A430" s="8">
        <v>11.0</v>
      </c>
      <c r="B430" s="2">
        <v>5.0</v>
      </c>
      <c r="C430" s="2" t="s">
        <v>1973</v>
      </c>
      <c r="D430" s="2" t="s">
        <v>7</v>
      </c>
      <c r="E430" s="2" t="s">
        <v>19</v>
      </c>
      <c r="F430" s="33" t="s">
        <v>2599</v>
      </c>
      <c r="G430" s="33" t="s">
        <v>1710</v>
      </c>
      <c r="H430" s="33"/>
      <c r="I430" s="26" t="s">
        <v>19</v>
      </c>
      <c r="J430" s="26" t="s">
        <v>2599</v>
      </c>
      <c r="K430" s="26" t="s">
        <v>1710</v>
      </c>
      <c r="L430" s="26"/>
      <c r="M430" s="32" t="s">
        <v>1979</v>
      </c>
      <c r="N430" s="32" t="s">
        <v>1979</v>
      </c>
      <c r="O430" s="37"/>
      <c r="P430" s="35"/>
      <c r="Q430" s="35"/>
    </row>
    <row r="431">
      <c r="A431" s="8">
        <v>11.0</v>
      </c>
      <c r="B431" s="2">
        <v>5.0</v>
      </c>
      <c r="C431" s="2" t="s">
        <v>1973</v>
      </c>
      <c r="D431" s="2" t="s">
        <v>7</v>
      </c>
      <c r="E431" s="2" t="s">
        <v>19</v>
      </c>
      <c r="F431" s="33" t="s">
        <v>2600</v>
      </c>
      <c r="G431" s="33" t="s">
        <v>2601</v>
      </c>
      <c r="H431" s="33"/>
      <c r="I431" s="26" t="s">
        <v>19</v>
      </c>
      <c r="J431" s="26" t="s">
        <v>2600</v>
      </c>
      <c r="K431" s="26" t="s">
        <v>2602</v>
      </c>
      <c r="L431" s="26"/>
      <c r="M431" s="32"/>
      <c r="N431" s="32"/>
      <c r="O431" s="37"/>
      <c r="P431" s="35"/>
      <c r="Q431" s="35"/>
    </row>
    <row r="432">
      <c r="A432" s="8">
        <v>11.0</v>
      </c>
      <c r="B432" s="2">
        <v>5.0</v>
      </c>
      <c r="C432" s="2" t="s">
        <v>1973</v>
      </c>
      <c r="D432" s="2" t="s">
        <v>7</v>
      </c>
      <c r="E432" s="2" t="s">
        <v>19</v>
      </c>
      <c r="F432" s="33" t="s">
        <v>1711</v>
      </c>
      <c r="G432" s="33" t="s">
        <v>1712</v>
      </c>
      <c r="H432" s="33"/>
      <c r="I432" s="26" t="s">
        <v>19</v>
      </c>
      <c r="J432" s="26" t="s">
        <v>1711</v>
      </c>
      <c r="K432" s="26" t="s">
        <v>1712</v>
      </c>
      <c r="L432" s="26"/>
      <c r="M432" s="32"/>
      <c r="N432" s="32"/>
      <c r="O432" s="37"/>
      <c r="P432" s="35"/>
      <c r="Q432" s="35"/>
    </row>
    <row r="433">
      <c r="A433" s="8">
        <v>11.0</v>
      </c>
      <c r="B433" s="2">
        <v>6.0</v>
      </c>
      <c r="C433" s="2" t="s">
        <v>1967</v>
      </c>
      <c r="D433" s="2" t="s">
        <v>7</v>
      </c>
      <c r="E433" s="2" t="s">
        <v>8</v>
      </c>
      <c r="F433" s="33" t="s">
        <v>709</v>
      </c>
      <c r="G433" s="33" t="s">
        <v>2603</v>
      </c>
      <c r="H433" s="33"/>
      <c r="I433" s="26" t="s">
        <v>8</v>
      </c>
      <c r="J433" s="26" t="s">
        <v>709</v>
      </c>
      <c r="K433" s="26" t="s">
        <v>2603</v>
      </c>
      <c r="L433" s="26"/>
      <c r="M433" s="32"/>
      <c r="N433" s="32"/>
      <c r="O433" s="37"/>
      <c r="P433" s="35"/>
      <c r="Q433" s="35"/>
    </row>
    <row r="434">
      <c r="A434" s="8">
        <v>11.0</v>
      </c>
      <c r="B434" s="2">
        <v>6.0</v>
      </c>
      <c r="C434" s="2" t="s">
        <v>1967</v>
      </c>
      <c r="D434" s="2" t="s">
        <v>7</v>
      </c>
      <c r="E434" s="2" t="s">
        <v>8</v>
      </c>
      <c r="F434" s="33" t="s">
        <v>1153</v>
      </c>
      <c r="G434" s="33" t="s">
        <v>2604</v>
      </c>
      <c r="H434" s="33"/>
      <c r="I434" s="26" t="s">
        <v>8</v>
      </c>
      <c r="J434" s="26" t="s">
        <v>1153</v>
      </c>
      <c r="K434" s="26" t="s">
        <v>2604</v>
      </c>
      <c r="L434" s="26"/>
      <c r="M434" s="32" t="s">
        <v>1979</v>
      </c>
      <c r="N434" s="32" t="s">
        <v>1979</v>
      </c>
      <c r="O434" s="37"/>
      <c r="P434" s="35"/>
      <c r="Q434" s="35"/>
    </row>
    <row r="435">
      <c r="A435" s="22">
        <v>11.0</v>
      </c>
      <c r="B435" s="22">
        <v>7.0</v>
      </c>
      <c r="C435" s="2" t="s">
        <v>1971</v>
      </c>
      <c r="D435" s="12" t="s">
        <v>59</v>
      </c>
      <c r="E435" s="2" t="s">
        <v>19</v>
      </c>
      <c r="F435" s="33" t="s">
        <v>1713</v>
      </c>
      <c r="G435" s="33" t="s">
        <v>1714</v>
      </c>
      <c r="H435" s="33"/>
      <c r="I435" s="26" t="s">
        <v>19</v>
      </c>
      <c r="J435" s="26" t="s">
        <v>1713</v>
      </c>
      <c r="K435" s="26" t="s">
        <v>1714</v>
      </c>
      <c r="L435" s="26"/>
      <c r="M435" s="32"/>
      <c r="N435" s="32"/>
      <c r="O435" s="37"/>
      <c r="P435" s="35"/>
      <c r="Q435" s="35"/>
    </row>
    <row r="436">
      <c r="A436" s="22">
        <v>11.0</v>
      </c>
      <c r="B436" s="22">
        <v>7.0</v>
      </c>
      <c r="C436" s="2" t="s">
        <v>1971</v>
      </c>
      <c r="D436" s="12" t="s">
        <v>59</v>
      </c>
      <c r="E436" s="2" t="s">
        <v>19</v>
      </c>
      <c r="F436" s="33" t="s">
        <v>1159</v>
      </c>
      <c r="G436" s="33" t="s">
        <v>2605</v>
      </c>
      <c r="H436" s="33"/>
      <c r="I436" s="26" t="s">
        <v>19</v>
      </c>
      <c r="J436" s="26" t="s">
        <v>1159</v>
      </c>
      <c r="K436" s="26" t="s">
        <v>2605</v>
      </c>
      <c r="L436" s="26"/>
      <c r="M436" s="32" t="s">
        <v>1979</v>
      </c>
      <c r="N436" s="32" t="s">
        <v>1979</v>
      </c>
      <c r="O436" s="37"/>
      <c r="P436" s="35"/>
      <c r="Q436" s="35"/>
    </row>
    <row r="437">
      <c r="A437" s="8">
        <v>11.0</v>
      </c>
      <c r="B437" s="2">
        <v>8.0</v>
      </c>
      <c r="C437" s="2" t="s">
        <v>1973</v>
      </c>
      <c r="D437" s="12" t="s">
        <v>59</v>
      </c>
      <c r="E437" s="2" t="s">
        <v>19</v>
      </c>
      <c r="F437" s="33" t="s">
        <v>711</v>
      </c>
      <c r="G437" s="33" t="s">
        <v>2606</v>
      </c>
      <c r="H437" s="33"/>
      <c r="I437" s="26" t="s">
        <v>19</v>
      </c>
      <c r="J437" s="26" t="s">
        <v>711</v>
      </c>
      <c r="K437" s="26" t="s">
        <v>2607</v>
      </c>
      <c r="L437" s="26"/>
      <c r="M437" s="32" t="s">
        <v>1979</v>
      </c>
      <c r="N437" s="32" t="s">
        <v>1979</v>
      </c>
      <c r="O437" s="37"/>
      <c r="P437" s="35"/>
      <c r="Q437" s="35"/>
    </row>
    <row r="438">
      <c r="A438" s="8">
        <v>11.0</v>
      </c>
      <c r="B438" s="2">
        <v>8.0</v>
      </c>
      <c r="C438" s="2" t="s">
        <v>1973</v>
      </c>
      <c r="D438" s="12" t="s">
        <v>59</v>
      </c>
      <c r="E438" s="2" t="s">
        <v>8</v>
      </c>
      <c r="F438" s="33" t="s">
        <v>713</v>
      </c>
      <c r="G438" s="33" t="s">
        <v>2608</v>
      </c>
      <c r="H438" s="33"/>
      <c r="I438" s="26" t="s">
        <v>8</v>
      </c>
      <c r="J438" s="26" t="s">
        <v>1715</v>
      </c>
      <c r="K438" s="26" t="s">
        <v>2608</v>
      </c>
      <c r="L438" s="26"/>
      <c r="M438" s="32" t="s">
        <v>1979</v>
      </c>
      <c r="N438" s="32" t="s">
        <v>1979</v>
      </c>
      <c r="O438" s="37"/>
      <c r="P438" s="35"/>
      <c r="Q438" s="35"/>
    </row>
    <row r="439">
      <c r="A439" s="8">
        <v>11.0</v>
      </c>
      <c r="B439" s="2">
        <v>8.0</v>
      </c>
      <c r="C439" s="2" t="s">
        <v>1973</v>
      </c>
      <c r="D439" s="12" t="s">
        <v>59</v>
      </c>
      <c r="E439" s="2" t="s">
        <v>19</v>
      </c>
      <c r="F439" s="33" t="s">
        <v>1717</v>
      </c>
      <c r="G439" s="33" t="s">
        <v>1718</v>
      </c>
      <c r="H439" s="33"/>
      <c r="I439" s="26" t="s">
        <v>19</v>
      </c>
      <c r="J439" s="26" t="s">
        <v>1717</v>
      </c>
      <c r="K439" s="26" t="s">
        <v>1718</v>
      </c>
      <c r="L439" s="26"/>
      <c r="M439" s="32"/>
      <c r="N439" s="32"/>
      <c r="O439" s="37"/>
      <c r="P439" s="35"/>
      <c r="Q439" s="35"/>
    </row>
    <row r="440">
      <c r="A440" s="8">
        <v>11.0</v>
      </c>
      <c r="B440" s="2">
        <v>8.0</v>
      </c>
      <c r="C440" s="2" t="s">
        <v>1973</v>
      </c>
      <c r="D440" s="12" t="s">
        <v>59</v>
      </c>
      <c r="E440" s="2" t="s">
        <v>19</v>
      </c>
      <c r="F440" s="33" t="s">
        <v>717</v>
      </c>
      <c r="G440" s="33" t="s">
        <v>2609</v>
      </c>
      <c r="H440" s="33"/>
      <c r="I440" s="26" t="s">
        <v>19</v>
      </c>
      <c r="J440" s="26" t="s">
        <v>717</v>
      </c>
      <c r="K440" s="26" t="s">
        <v>2609</v>
      </c>
      <c r="L440" s="26"/>
      <c r="M440" s="32"/>
      <c r="N440" s="32"/>
      <c r="O440" s="37"/>
      <c r="P440" s="35"/>
      <c r="Q440" s="35"/>
    </row>
    <row r="441">
      <c r="A441" s="8">
        <v>11.0</v>
      </c>
      <c r="B441" s="2">
        <v>9.0</v>
      </c>
      <c r="C441" s="2" t="s">
        <v>1973</v>
      </c>
      <c r="D441" s="12" t="s">
        <v>59</v>
      </c>
      <c r="E441" s="2" t="s">
        <v>19</v>
      </c>
      <c r="F441" s="33" t="s">
        <v>1721</v>
      </c>
      <c r="G441" s="33" t="s">
        <v>1722</v>
      </c>
      <c r="H441" s="33"/>
      <c r="I441" s="26" t="s">
        <v>19</v>
      </c>
      <c r="J441" s="26" t="s">
        <v>1721</v>
      </c>
      <c r="K441" s="26" t="s">
        <v>1722</v>
      </c>
      <c r="L441" s="26"/>
      <c r="M441" s="32" t="s">
        <v>1979</v>
      </c>
      <c r="N441" s="32" t="s">
        <v>1979</v>
      </c>
      <c r="O441" s="37"/>
      <c r="P441" s="35"/>
      <c r="Q441" s="35"/>
    </row>
    <row r="442">
      <c r="A442" s="8">
        <v>11.0</v>
      </c>
      <c r="B442" s="2">
        <v>9.0</v>
      </c>
      <c r="C442" s="2" t="s">
        <v>1973</v>
      </c>
      <c r="D442" s="12" t="s">
        <v>59</v>
      </c>
      <c r="E442" s="2" t="s">
        <v>19</v>
      </c>
      <c r="F442" s="33" t="s">
        <v>1723</v>
      </c>
      <c r="G442" s="33" t="s">
        <v>1724</v>
      </c>
      <c r="H442" s="33"/>
      <c r="I442" s="26" t="s">
        <v>19</v>
      </c>
      <c r="J442" s="26" t="s">
        <v>1723</v>
      </c>
      <c r="K442" s="26" t="s">
        <v>1724</v>
      </c>
      <c r="L442" s="26"/>
      <c r="M442" s="32" t="s">
        <v>1979</v>
      </c>
      <c r="N442" s="32" t="s">
        <v>1979</v>
      </c>
      <c r="O442" s="37"/>
      <c r="P442" s="35"/>
      <c r="Q442" s="35"/>
    </row>
    <row r="443">
      <c r="A443" s="8">
        <v>11.0</v>
      </c>
      <c r="B443" s="2">
        <v>9.0</v>
      </c>
      <c r="C443" s="2" t="s">
        <v>1973</v>
      </c>
      <c r="D443" s="12" t="s">
        <v>59</v>
      </c>
      <c r="E443" s="2" t="s">
        <v>19</v>
      </c>
      <c r="F443" s="33" t="s">
        <v>1725</v>
      </c>
      <c r="G443" s="33" t="s">
        <v>1726</v>
      </c>
      <c r="H443" s="33"/>
      <c r="I443" s="26" t="s">
        <v>19</v>
      </c>
      <c r="J443" s="26" t="s">
        <v>1725</v>
      </c>
      <c r="K443" s="26" t="s">
        <v>1726</v>
      </c>
      <c r="L443" s="26"/>
      <c r="M443" s="32" t="s">
        <v>1979</v>
      </c>
      <c r="N443" s="32" t="s">
        <v>1979</v>
      </c>
      <c r="O443" s="37"/>
      <c r="P443" s="35"/>
      <c r="Q443" s="35"/>
    </row>
    <row r="444">
      <c r="A444" s="8">
        <v>11.0</v>
      </c>
      <c r="B444" s="2">
        <v>9.0</v>
      </c>
      <c r="C444" s="2" t="s">
        <v>1973</v>
      </c>
      <c r="D444" s="12" t="s">
        <v>59</v>
      </c>
      <c r="E444" s="2" t="s">
        <v>19</v>
      </c>
      <c r="F444" s="33" t="s">
        <v>1727</v>
      </c>
      <c r="G444" s="33" t="s">
        <v>1728</v>
      </c>
      <c r="H444" s="33"/>
      <c r="I444" s="26" t="s">
        <v>19</v>
      </c>
      <c r="J444" s="26" t="s">
        <v>1727</v>
      </c>
      <c r="K444" s="26" t="s">
        <v>1728</v>
      </c>
      <c r="L444" s="26"/>
      <c r="M444" s="32" t="s">
        <v>1979</v>
      </c>
      <c r="N444" s="32" t="s">
        <v>1979</v>
      </c>
      <c r="O444" s="37"/>
      <c r="P444" s="35"/>
      <c r="Q444" s="35"/>
    </row>
    <row r="445">
      <c r="A445" s="8">
        <v>11.0</v>
      </c>
      <c r="B445" s="2">
        <v>9.0</v>
      </c>
      <c r="C445" s="2" t="s">
        <v>1973</v>
      </c>
      <c r="D445" s="12" t="s">
        <v>59</v>
      </c>
      <c r="E445" s="2" t="s">
        <v>8</v>
      </c>
      <c r="F445" s="33" t="s">
        <v>2610</v>
      </c>
      <c r="G445" s="33" t="s">
        <v>2611</v>
      </c>
      <c r="H445" s="33"/>
      <c r="I445" s="26" t="s">
        <v>8</v>
      </c>
      <c r="J445" s="26" t="s">
        <v>1729</v>
      </c>
      <c r="K445" s="26" t="s">
        <v>1730</v>
      </c>
      <c r="L445" s="26"/>
      <c r="M445" s="32" t="s">
        <v>1979</v>
      </c>
      <c r="N445" s="32" t="s">
        <v>1979</v>
      </c>
      <c r="O445" s="37"/>
      <c r="P445" s="35"/>
      <c r="Q445" s="35"/>
    </row>
    <row r="446">
      <c r="A446" s="8">
        <v>11.0</v>
      </c>
      <c r="B446" s="2">
        <v>10.0</v>
      </c>
      <c r="C446" s="2" t="s">
        <v>1973</v>
      </c>
      <c r="D446" s="2" t="s">
        <v>40</v>
      </c>
      <c r="E446" s="2" t="s">
        <v>19</v>
      </c>
      <c r="F446" s="33" t="s">
        <v>2612</v>
      </c>
      <c r="G446" s="33" t="s">
        <v>2613</v>
      </c>
      <c r="H446" s="33"/>
      <c r="I446" s="26" t="s">
        <v>19</v>
      </c>
      <c r="J446" s="26" t="s">
        <v>2612</v>
      </c>
      <c r="K446" s="26" t="s">
        <v>2613</v>
      </c>
      <c r="L446" s="26"/>
      <c r="M446" s="32"/>
      <c r="N446" s="32"/>
      <c r="O446" s="37"/>
      <c r="P446" s="35"/>
      <c r="Q446" s="35"/>
    </row>
    <row r="447">
      <c r="A447" s="8">
        <v>11.0</v>
      </c>
      <c r="B447" s="2">
        <v>10.0</v>
      </c>
      <c r="C447" s="2" t="s">
        <v>1973</v>
      </c>
      <c r="D447" s="2" t="s">
        <v>40</v>
      </c>
      <c r="E447" s="2" t="s">
        <v>8</v>
      </c>
      <c r="F447" s="33" t="s">
        <v>2614</v>
      </c>
      <c r="G447" s="33" t="s">
        <v>2615</v>
      </c>
      <c r="H447" s="33"/>
      <c r="I447" s="26" t="s">
        <v>8</v>
      </c>
      <c r="J447" s="26" t="s">
        <v>723</v>
      </c>
      <c r="K447" s="26" t="s">
        <v>724</v>
      </c>
      <c r="L447" s="26"/>
      <c r="M447" s="32" t="s">
        <v>1979</v>
      </c>
      <c r="N447" s="32" t="s">
        <v>1979</v>
      </c>
      <c r="O447" s="37"/>
      <c r="P447" s="35"/>
      <c r="Q447" s="35"/>
    </row>
    <row r="448">
      <c r="A448" s="8">
        <v>11.0</v>
      </c>
      <c r="B448" s="2">
        <v>11.0</v>
      </c>
      <c r="C448" s="2" t="s">
        <v>1967</v>
      </c>
      <c r="D448" s="2" t="s">
        <v>40</v>
      </c>
      <c r="E448" s="2" t="s">
        <v>19</v>
      </c>
      <c r="F448" s="33" t="s">
        <v>2616</v>
      </c>
      <c r="G448" s="33" t="s">
        <v>2617</v>
      </c>
      <c r="H448" s="33"/>
      <c r="I448" s="26" t="s">
        <v>19</v>
      </c>
      <c r="J448" s="26" t="s">
        <v>2616</v>
      </c>
      <c r="K448" s="26" t="s">
        <v>1162</v>
      </c>
      <c r="L448" s="26"/>
      <c r="M448" s="32" t="s">
        <v>1979</v>
      </c>
      <c r="N448" s="32"/>
      <c r="O448" s="37" t="s">
        <v>1982</v>
      </c>
      <c r="P448" s="35"/>
      <c r="Q448" s="35"/>
    </row>
    <row r="449">
      <c r="A449" s="8">
        <v>11.0</v>
      </c>
      <c r="B449" s="2">
        <v>11.0</v>
      </c>
      <c r="C449" s="2" t="s">
        <v>1967</v>
      </c>
      <c r="D449" s="2" t="s">
        <v>40</v>
      </c>
      <c r="E449" s="2" t="s">
        <v>19</v>
      </c>
      <c r="F449" s="33" t="s">
        <v>1163</v>
      </c>
      <c r="G449" s="33" t="s">
        <v>1164</v>
      </c>
      <c r="H449" s="33"/>
      <c r="I449" s="26" t="s">
        <v>19</v>
      </c>
      <c r="J449" s="26" t="s">
        <v>1163</v>
      </c>
      <c r="K449" s="26" t="s">
        <v>1164</v>
      </c>
      <c r="L449" s="26"/>
      <c r="M449" s="32" t="s">
        <v>1979</v>
      </c>
      <c r="N449" s="32" t="s">
        <v>1979</v>
      </c>
      <c r="O449" s="37"/>
      <c r="P449" s="35"/>
      <c r="Q449" s="35"/>
    </row>
    <row r="450">
      <c r="A450" s="22">
        <v>11.0</v>
      </c>
      <c r="B450" s="22">
        <v>12.0</v>
      </c>
      <c r="C450" s="2" t="s">
        <v>1971</v>
      </c>
      <c r="D450" s="2" t="s">
        <v>28</v>
      </c>
      <c r="E450" s="2" t="s">
        <v>8</v>
      </c>
      <c r="F450" s="33" t="s">
        <v>1733</v>
      </c>
      <c r="G450" s="33" t="s">
        <v>2618</v>
      </c>
      <c r="H450" s="33"/>
      <c r="I450" s="26" t="s">
        <v>8</v>
      </c>
      <c r="J450" s="26" t="s">
        <v>1733</v>
      </c>
      <c r="K450" s="26" t="s">
        <v>2618</v>
      </c>
      <c r="L450" s="26"/>
      <c r="M450" s="32"/>
      <c r="N450" s="32"/>
      <c r="O450" s="37"/>
      <c r="P450" s="35"/>
      <c r="Q450" s="35"/>
    </row>
    <row r="451">
      <c r="A451" s="22">
        <v>11.0</v>
      </c>
      <c r="B451" s="22">
        <v>12.0</v>
      </c>
      <c r="C451" s="2" t="s">
        <v>1971</v>
      </c>
      <c r="D451" s="2" t="s">
        <v>28</v>
      </c>
      <c r="E451" s="2" t="s">
        <v>8</v>
      </c>
      <c r="F451" s="33" t="s">
        <v>2619</v>
      </c>
      <c r="G451" s="33" t="s">
        <v>2620</v>
      </c>
      <c r="H451" s="33"/>
      <c r="I451" s="26" t="s">
        <v>8</v>
      </c>
      <c r="J451" s="26" t="s">
        <v>2619</v>
      </c>
      <c r="K451" s="26" t="s">
        <v>2620</v>
      </c>
      <c r="L451" s="26"/>
      <c r="M451" s="32"/>
      <c r="N451" s="32"/>
      <c r="O451" s="37"/>
      <c r="P451" s="35"/>
      <c r="Q451" s="35"/>
    </row>
    <row r="452">
      <c r="A452" s="8">
        <v>11.0</v>
      </c>
      <c r="B452" s="2">
        <v>13.0</v>
      </c>
      <c r="C452" s="2" t="s">
        <v>1973</v>
      </c>
      <c r="D452" s="12" t="s">
        <v>47</v>
      </c>
      <c r="E452" s="2" t="s">
        <v>8</v>
      </c>
      <c r="F452" s="33" t="s">
        <v>2621</v>
      </c>
      <c r="G452" s="33" t="s">
        <v>2622</v>
      </c>
      <c r="H452" s="33"/>
      <c r="I452" s="26" t="s">
        <v>8</v>
      </c>
      <c r="J452" s="26" t="s">
        <v>2621</v>
      </c>
      <c r="K452" s="26" t="s">
        <v>2622</v>
      </c>
      <c r="L452" s="26"/>
      <c r="M452" s="32" t="s">
        <v>1979</v>
      </c>
      <c r="N452" s="32" t="s">
        <v>1979</v>
      </c>
      <c r="O452" s="37"/>
      <c r="P452" s="35"/>
      <c r="Q452" s="35"/>
    </row>
    <row r="453">
      <c r="A453" s="8">
        <v>11.0</v>
      </c>
      <c r="B453" s="2">
        <v>14.0</v>
      </c>
      <c r="C453" s="2" t="s">
        <v>1973</v>
      </c>
      <c r="D453" s="12" t="s">
        <v>47</v>
      </c>
      <c r="E453" s="2" t="s">
        <v>8</v>
      </c>
      <c r="F453" s="33" t="s">
        <v>727</v>
      </c>
      <c r="G453" s="33" t="s">
        <v>2623</v>
      </c>
      <c r="H453" s="33"/>
      <c r="I453" s="26" t="s">
        <v>8</v>
      </c>
      <c r="J453" s="26" t="s">
        <v>1739</v>
      </c>
      <c r="K453" s="26" t="s">
        <v>2624</v>
      </c>
      <c r="L453" s="26"/>
      <c r="M453" s="32"/>
      <c r="N453" s="32"/>
      <c r="O453" s="37"/>
      <c r="P453" s="35"/>
      <c r="Q453" s="35"/>
    </row>
    <row r="454">
      <c r="A454" s="8">
        <v>11.0</v>
      </c>
      <c r="B454" s="2">
        <v>14.0</v>
      </c>
      <c r="C454" s="2" t="s">
        <v>1973</v>
      </c>
      <c r="D454" s="12" t="s">
        <v>47</v>
      </c>
      <c r="E454" s="2" t="s">
        <v>19</v>
      </c>
      <c r="F454" s="33" t="s">
        <v>1737</v>
      </c>
      <c r="G454" s="33" t="s">
        <v>2625</v>
      </c>
      <c r="H454" s="33"/>
      <c r="I454" s="26" t="s">
        <v>19</v>
      </c>
      <c r="J454" s="26" t="s">
        <v>1737</v>
      </c>
      <c r="K454" s="26" t="s">
        <v>2625</v>
      </c>
      <c r="L454" s="26"/>
      <c r="M454" s="32" t="s">
        <v>1979</v>
      </c>
      <c r="N454" s="32" t="s">
        <v>1979</v>
      </c>
      <c r="O454" s="37"/>
      <c r="P454" s="35"/>
      <c r="Q454" s="35"/>
    </row>
    <row r="455">
      <c r="A455" s="8">
        <v>11.0</v>
      </c>
      <c r="B455" s="2">
        <v>16.0</v>
      </c>
      <c r="C455" s="2" t="s">
        <v>1967</v>
      </c>
      <c r="D455" s="2" t="s">
        <v>72</v>
      </c>
      <c r="E455" s="2" t="s">
        <v>19</v>
      </c>
      <c r="F455" s="33" t="s">
        <v>1167</v>
      </c>
      <c r="G455" s="33" t="s">
        <v>1168</v>
      </c>
      <c r="H455" s="33"/>
      <c r="I455" s="26" t="s">
        <v>19</v>
      </c>
      <c r="J455" s="26" t="s">
        <v>1167</v>
      </c>
      <c r="K455" s="26" t="s">
        <v>1168</v>
      </c>
      <c r="L455" s="26"/>
      <c r="M455" s="32"/>
      <c r="N455" s="32"/>
      <c r="O455" s="37"/>
      <c r="P455" s="35"/>
      <c r="Q455" s="35"/>
    </row>
    <row r="456">
      <c r="A456" s="22">
        <v>11.0</v>
      </c>
      <c r="B456" s="22">
        <v>17.0</v>
      </c>
      <c r="C456" s="2" t="s">
        <v>1971</v>
      </c>
      <c r="D456" s="2" t="s">
        <v>33</v>
      </c>
      <c r="E456" s="2" t="s">
        <v>19</v>
      </c>
      <c r="F456" s="33" t="s">
        <v>1169</v>
      </c>
      <c r="G456" s="33" t="s">
        <v>2626</v>
      </c>
      <c r="H456" s="33"/>
      <c r="I456" s="26" t="s">
        <v>19</v>
      </c>
      <c r="J456" s="26" t="s">
        <v>1745</v>
      </c>
      <c r="K456" s="26" t="s">
        <v>2626</v>
      </c>
      <c r="L456" s="26"/>
      <c r="M456" s="32"/>
      <c r="N456" s="32"/>
      <c r="O456" s="37"/>
      <c r="P456" s="35"/>
      <c r="Q456" s="35"/>
    </row>
    <row r="457">
      <c r="A457" s="8">
        <v>11.0</v>
      </c>
      <c r="B457" s="2">
        <v>18.0</v>
      </c>
      <c r="C457" s="2" t="s">
        <v>1973</v>
      </c>
      <c r="D457" s="2" t="s">
        <v>33</v>
      </c>
      <c r="E457" s="2" t="s">
        <v>19</v>
      </c>
      <c r="F457" s="33" t="s">
        <v>1747</v>
      </c>
      <c r="G457" s="33" t="s">
        <v>1748</v>
      </c>
      <c r="H457" s="33"/>
      <c r="I457" s="26" t="s">
        <v>19</v>
      </c>
      <c r="J457" s="26" t="s">
        <v>1747</v>
      </c>
      <c r="K457" s="26" t="s">
        <v>1748</v>
      </c>
      <c r="L457" s="26"/>
      <c r="M457" s="32"/>
      <c r="N457" s="32"/>
      <c r="O457" s="37"/>
      <c r="P457" s="35"/>
      <c r="Q457" s="35"/>
    </row>
    <row r="458">
      <c r="A458" s="8">
        <v>11.0</v>
      </c>
      <c r="B458" s="2">
        <v>19.0</v>
      </c>
      <c r="C458" s="2" t="s">
        <v>1973</v>
      </c>
      <c r="D458" s="2" t="s">
        <v>54</v>
      </c>
      <c r="E458" s="2" t="s">
        <v>8</v>
      </c>
      <c r="F458" s="33" t="s">
        <v>733</v>
      </c>
      <c r="G458" s="33" t="s">
        <v>2627</v>
      </c>
      <c r="H458" s="33"/>
      <c r="I458" s="26" t="s">
        <v>8</v>
      </c>
      <c r="J458" s="26" t="s">
        <v>733</v>
      </c>
      <c r="K458" s="26" t="s">
        <v>2628</v>
      </c>
      <c r="L458" s="26"/>
      <c r="M458" s="32"/>
      <c r="N458" s="32"/>
      <c r="O458" s="37"/>
      <c r="P458" s="35"/>
      <c r="Q458" s="35"/>
    </row>
    <row r="459">
      <c r="A459" s="8">
        <v>11.0</v>
      </c>
      <c r="B459" s="2">
        <v>19.0</v>
      </c>
      <c r="C459" s="2" t="s">
        <v>1973</v>
      </c>
      <c r="D459" s="2" t="s">
        <v>54</v>
      </c>
      <c r="E459" s="2" t="s">
        <v>8</v>
      </c>
      <c r="F459" s="33" t="s">
        <v>1751</v>
      </c>
      <c r="G459" s="33" t="s">
        <v>1752</v>
      </c>
      <c r="H459" s="33" t="s">
        <v>2629</v>
      </c>
      <c r="I459" s="26" t="s">
        <v>8</v>
      </c>
      <c r="J459" s="26" t="s">
        <v>1751</v>
      </c>
      <c r="K459" s="26" t="s">
        <v>1752</v>
      </c>
      <c r="L459" s="26" t="s">
        <v>2629</v>
      </c>
      <c r="M459" s="32" t="s">
        <v>1979</v>
      </c>
      <c r="N459" s="32" t="s">
        <v>1979</v>
      </c>
      <c r="O459" s="37"/>
      <c r="P459" s="35"/>
      <c r="Q459" s="35"/>
    </row>
    <row r="460">
      <c r="A460" s="8">
        <v>11.0</v>
      </c>
      <c r="B460" s="2">
        <v>20.0</v>
      </c>
      <c r="C460" s="2" t="s">
        <v>1973</v>
      </c>
      <c r="D460" s="2" t="s">
        <v>176</v>
      </c>
      <c r="E460" s="2" t="s">
        <v>8</v>
      </c>
      <c r="F460" s="33" t="s">
        <v>735</v>
      </c>
      <c r="G460" s="33" t="s">
        <v>2630</v>
      </c>
      <c r="H460" s="33"/>
      <c r="I460" s="26" t="s">
        <v>8</v>
      </c>
      <c r="J460" s="26" t="s">
        <v>735</v>
      </c>
      <c r="K460" s="26" t="s">
        <v>736</v>
      </c>
      <c r="L460" s="26"/>
      <c r="M460" s="32" t="s">
        <v>1979</v>
      </c>
      <c r="N460" s="32" t="s">
        <v>1979</v>
      </c>
      <c r="O460" s="37"/>
      <c r="P460" s="35"/>
      <c r="Q460" s="35"/>
    </row>
    <row r="461">
      <c r="A461" s="8">
        <v>11.0</v>
      </c>
      <c r="B461" s="2">
        <v>20.0</v>
      </c>
      <c r="C461" s="2" t="s">
        <v>1973</v>
      </c>
      <c r="D461" s="2" t="s">
        <v>176</v>
      </c>
      <c r="E461" s="2" t="s">
        <v>19</v>
      </c>
      <c r="F461" s="33" t="s">
        <v>1753</v>
      </c>
      <c r="G461" s="33" t="s">
        <v>1754</v>
      </c>
      <c r="H461" s="33"/>
      <c r="I461" s="26" t="s">
        <v>19</v>
      </c>
      <c r="J461" s="26" t="s">
        <v>1753</v>
      </c>
      <c r="K461" s="26" t="s">
        <v>1754</v>
      </c>
      <c r="L461" s="26"/>
      <c r="M461" s="32"/>
      <c r="N461" s="32"/>
      <c r="O461" s="37"/>
      <c r="P461" s="35"/>
      <c r="Q461" s="35"/>
    </row>
    <row r="462">
      <c r="A462" s="8">
        <v>12.0</v>
      </c>
      <c r="B462" s="2">
        <v>1.0</v>
      </c>
      <c r="C462" s="2" t="s">
        <v>1967</v>
      </c>
      <c r="D462" s="2" t="s">
        <v>451</v>
      </c>
      <c r="E462" s="2" t="s">
        <v>8</v>
      </c>
      <c r="F462" s="33" t="s">
        <v>737</v>
      </c>
      <c r="G462" s="33" t="s">
        <v>2631</v>
      </c>
      <c r="H462" s="33"/>
      <c r="I462" s="26" t="s">
        <v>8</v>
      </c>
      <c r="J462" s="26" t="s">
        <v>737</v>
      </c>
      <c r="K462" s="26" t="s">
        <v>2631</v>
      </c>
      <c r="L462" s="26"/>
      <c r="M462" s="32" t="s">
        <v>1979</v>
      </c>
      <c r="N462" s="32" t="s">
        <v>1979</v>
      </c>
      <c r="O462" s="37"/>
      <c r="P462" s="35"/>
      <c r="Q462" s="35"/>
    </row>
    <row r="463">
      <c r="A463" s="8">
        <v>12.0</v>
      </c>
      <c r="B463" s="2">
        <v>1.0</v>
      </c>
      <c r="C463" s="2" t="s">
        <v>1967</v>
      </c>
      <c r="D463" s="2" t="s">
        <v>451</v>
      </c>
      <c r="E463" s="2" t="s">
        <v>19</v>
      </c>
      <c r="F463" s="33" t="s">
        <v>1171</v>
      </c>
      <c r="G463" s="33" t="s">
        <v>1172</v>
      </c>
      <c r="H463" s="33"/>
      <c r="I463" s="26" t="s">
        <v>19</v>
      </c>
      <c r="J463" s="26" t="s">
        <v>1171</v>
      </c>
      <c r="K463" s="26" t="s">
        <v>1172</v>
      </c>
      <c r="L463" s="26"/>
      <c r="M463" s="32" t="s">
        <v>1979</v>
      </c>
      <c r="N463" s="32" t="s">
        <v>1979</v>
      </c>
      <c r="O463" s="37"/>
      <c r="P463" s="35"/>
      <c r="Q463" s="35"/>
    </row>
    <row r="464">
      <c r="A464" s="22">
        <v>12.0</v>
      </c>
      <c r="B464" s="22">
        <v>2.0</v>
      </c>
      <c r="C464" s="2" t="s">
        <v>1971</v>
      </c>
      <c r="D464" s="2" t="s">
        <v>451</v>
      </c>
      <c r="E464" s="2" t="s">
        <v>19</v>
      </c>
      <c r="F464" s="33" t="s">
        <v>1173</v>
      </c>
      <c r="G464" s="33" t="s">
        <v>2632</v>
      </c>
      <c r="H464" s="33"/>
      <c r="I464" s="26" t="s">
        <v>19</v>
      </c>
      <c r="J464" s="26" t="s">
        <v>1173</v>
      </c>
      <c r="K464" s="26" t="s">
        <v>2632</v>
      </c>
      <c r="L464" s="26"/>
      <c r="M464" s="32" t="s">
        <v>1979</v>
      </c>
      <c r="N464" s="32" t="s">
        <v>1979</v>
      </c>
      <c r="O464" s="37"/>
      <c r="P464" s="35"/>
      <c r="Q464" s="35"/>
    </row>
    <row r="465">
      <c r="A465" s="8">
        <v>12.0</v>
      </c>
      <c r="B465" s="2">
        <v>3.0</v>
      </c>
      <c r="C465" s="2" t="s">
        <v>1973</v>
      </c>
      <c r="D465" s="2" t="s">
        <v>451</v>
      </c>
      <c r="E465" s="2" t="s">
        <v>19</v>
      </c>
      <c r="F465" s="33" t="s">
        <v>741</v>
      </c>
      <c r="G465" s="33" t="s">
        <v>2633</v>
      </c>
      <c r="H465" s="33"/>
      <c r="I465" s="26" t="s">
        <v>19</v>
      </c>
      <c r="J465" s="26" t="s">
        <v>741</v>
      </c>
      <c r="K465" s="26" t="s">
        <v>742</v>
      </c>
      <c r="L465" s="26"/>
      <c r="M465" s="32" t="s">
        <v>1979</v>
      </c>
      <c r="N465" s="32" t="s">
        <v>1979</v>
      </c>
      <c r="O465" s="37"/>
      <c r="P465" s="35"/>
      <c r="Q465" s="35"/>
    </row>
    <row r="466">
      <c r="A466" s="8">
        <v>12.0</v>
      </c>
      <c r="B466" s="2">
        <v>3.0</v>
      </c>
      <c r="C466" s="2" t="s">
        <v>1973</v>
      </c>
      <c r="D466" s="2" t="s">
        <v>451</v>
      </c>
      <c r="E466" s="2" t="s">
        <v>8</v>
      </c>
      <c r="F466" s="33" t="s">
        <v>1757</v>
      </c>
      <c r="G466" s="33" t="s">
        <v>2634</v>
      </c>
      <c r="H466" s="33"/>
      <c r="I466" s="26" t="s">
        <v>8</v>
      </c>
      <c r="J466" s="26" t="s">
        <v>1757</v>
      </c>
      <c r="K466" s="26" t="s">
        <v>2634</v>
      </c>
      <c r="L466" s="26"/>
      <c r="M466" s="32"/>
      <c r="N466" s="32"/>
      <c r="O466" s="37"/>
      <c r="P466" s="35"/>
      <c r="Q466" s="35"/>
    </row>
    <row r="467">
      <c r="A467" s="8">
        <v>12.0</v>
      </c>
      <c r="B467" s="2">
        <v>4.0</v>
      </c>
      <c r="C467" s="2" t="s">
        <v>1973</v>
      </c>
      <c r="D467" s="2" t="s">
        <v>451</v>
      </c>
      <c r="E467" s="2" t="s">
        <v>19</v>
      </c>
      <c r="F467" s="33" t="s">
        <v>745</v>
      </c>
      <c r="G467" s="33" t="s">
        <v>2635</v>
      </c>
      <c r="H467" s="33"/>
      <c r="I467" s="26" t="s">
        <v>19</v>
      </c>
      <c r="J467" s="26" t="s">
        <v>745</v>
      </c>
      <c r="K467" s="26" t="s">
        <v>746</v>
      </c>
      <c r="L467" s="26"/>
      <c r="M467" s="32" t="s">
        <v>1979</v>
      </c>
      <c r="N467" s="32" t="s">
        <v>1979</v>
      </c>
      <c r="O467" s="37"/>
      <c r="P467" s="35"/>
      <c r="Q467" s="35"/>
    </row>
    <row r="468">
      <c r="A468" s="8">
        <v>12.0</v>
      </c>
      <c r="B468" s="2">
        <v>4.0</v>
      </c>
      <c r="C468" s="2" t="s">
        <v>1973</v>
      </c>
      <c r="D468" s="2" t="s">
        <v>451</v>
      </c>
      <c r="E468" s="2" t="s">
        <v>19</v>
      </c>
      <c r="F468" s="33" t="s">
        <v>1759</v>
      </c>
      <c r="G468" s="33" t="s">
        <v>2636</v>
      </c>
      <c r="H468" s="33"/>
      <c r="I468" s="26" t="s">
        <v>19</v>
      </c>
      <c r="J468" s="26" t="s">
        <v>1759</v>
      </c>
      <c r="K468" s="26" t="s">
        <v>2636</v>
      </c>
      <c r="L468" s="26"/>
      <c r="M468" s="32" t="s">
        <v>1979</v>
      </c>
      <c r="N468" s="32" t="s">
        <v>1979</v>
      </c>
      <c r="O468" s="37"/>
      <c r="P468" s="35"/>
      <c r="Q468" s="35"/>
    </row>
    <row r="469">
      <c r="A469" s="8">
        <v>12.0</v>
      </c>
      <c r="B469" s="2">
        <v>6.0</v>
      </c>
      <c r="C469" s="2" t="s">
        <v>1967</v>
      </c>
      <c r="D469" s="2" t="s">
        <v>451</v>
      </c>
      <c r="E469" s="2" t="s">
        <v>19</v>
      </c>
      <c r="F469" s="33" t="s">
        <v>1175</v>
      </c>
      <c r="G469" s="33" t="s">
        <v>1176</v>
      </c>
      <c r="H469" s="33"/>
      <c r="I469" s="26" t="s">
        <v>19</v>
      </c>
      <c r="J469" s="26" t="s">
        <v>1175</v>
      </c>
      <c r="K469" s="26" t="s">
        <v>1176</v>
      </c>
      <c r="L469" s="26"/>
      <c r="M469" s="32"/>
      <c r="N469" s="32"/>
      <c r="O469" s="37"/>
      <c r="P469" s="35"/>
      <c r="Q469" s="35"/>
    </row>
    <row r="470">
      <c r="A470" s="8">
        <v>12.0</v>
      </c>
      <c r="B470" s="2">
        <v>6.0</v>
      </c>
      <c r="C470" s="2" t="s">
        <v>1967</v>
      </c>
      <c r="D470" s="2" t="s">
        <v>451</v>
      </c>
      <c r="E470" s="2" t="s">
        <v>19</v>
      </c>
      <c r="F470" s="33" t="s">
        <v>2637</v>
      </c>
      <c r="G470" s="33" t="s">
        <v>2638</v>
      </c>
      <c r="H470" s="33"/>
      <c r="I470" s="26" t="s">
        <v>19</v>
      </c>
      <c r="J470" s="26" t="s">
        <v>2637</v>
      </c>
      <c r="K470" s="26" t="s">
        <v>2639</v>
      </c>
      <c r="L470" s="26"/>
      <c r="M470" s="32" t="s">
        <v>1979</v>
      </c>
      <c r="N470" s="32" t="s">
        <v>1979</v>
      </c>
      <c r="O470" s="37"/>
      <c r="P470" s="35"/>
      <c r="Q470" s="35"/>
    </row>
    <row r="471">
      <c r="A471" s="22">
        <v>12.0</v>
      </c>
      <c r="B471" s="22">
        <v>7.0</v>
      </c>
      <c r="C471" s="2" t="s">
        <v>1971</v>
      </c>
      <c r="D471" s="2" t="s">
        <v>7</v>
      </c>
      <c r="E471" s="2" t="s">
        <v>8</v>
      </c>
      <c r="F471" s="33" t="s">
        <v>1763</v>
      </c>
      <c r="G471" s="33" t="s">
        <v>2640</v>
      </c>
      <c r="H471" s="33"/>
      <c r="I471" s="26" t="s">
        <v>8</v>
      </c>
      <c r="J471" s="26" t="s">
        <v>1763</v>
      </c>
      <c r="K471" s="26" t="s">
        <v>2640</v>
      </c>
      <c r="L471" s="26"/>
      <c r="M471" s="32"/>
      <c r="N471" s="32"/>
      <c r="O471" s="37"/>
      <c r="P471" s="35"/>
      <c r="Q471" s="35"/>
    </row>
    <row r="472">
      <c r="A472" s="22">
        <v>12.0</v>
      </c>
      <c r="B472" s="22">
        <v>7.0</v>
      </c>
      <c r="C472" s="2" t="s">
        <v>1971</v>
      </c>
      <c r="D472" s="2" t="s">
        <v>7</v>
      </c>
      <c r="E472" s="2" t="s">
        <v>8</v>
      </c>
      <c r="F472" s="33" t="s">
        <v>1179</v>
      </c>
      <c r="G472" s="33" t="s">
        <v>2641</v>
      </c>
      <c r="H472" s="33"/>
      <c r="I472" s="26" t="s">
        <v>8</v>
      </c>
      <c r="J472" s="26" t="s">
        <v>1179</v>
      </c>
      <c r="K472" s="26" t="s">
        <v>2641</v>
      </c>
      <c r="L472" s="26"/>
      <c r="M472" s="32" t="s">
        <v>1979</v>
      </c>
      <c r="N472" s="32" t="s">
        <v>1979</v>
      </c>
      <c r="O472" s="37"/>
      <c r="P472" s="35"/>
      <c r="Q472" s="35"/>
    </row>
    <row r="473">
      <c r="A473" s="8">
        <v>12.0</v>
      </c>
      <c r="B473" s="2">
        <v>8.0</v>
      </c>
      <c r="C473" s="2" t="s">
        <v>1973</v>
      </c>
      <c r="D473" s="2" t="s">
        <v>7</v>
      </c>
      <c r="E473" s="2" t="s">
        <v>19</v>
      </c>
      <c r="F473" s="33" t="s">
        <v>751</v>
      </c>
      <c r="G473" s="33" t="s">
        <v>2642</v>
      </c>
      <c r="H473" s="33"/>
      <c r="I473" s="26" t="s">
        <v>19</v>
      </c>
      <c r="J473" s="26" t="s">
        <v>751</v>
      </c>
      <c r="K473" s="26" t="s">
        <v>2642</v>
      </c>
      <c r="L473" s="26"/>
      <c r="M473" s="32"/>
      <c r="N473" s="32"/>
      <c r="O473" s="37"/>
      <c r="P473" s="35"/>
      <c r="Q473" s="35"/>
    </row>
    <row r="474">
      <c r="A474" s="8">
        <v>12.0</v>
      </c>
      <c r="B474" s="2">
        <v>8.0</v>
      </c>
      <c r="C474" s="2" t="s">
        <v>1973</v>
      </c>
      <c r="D474" s="2" t="s">
        <v>7</v>
      </c>
      <c r="E474" s="2" t="s">
        <v>8</v>
      </c>
      <c r="F474" s="33" t="s">
        <v>753</v>
      </c>
      <c r="G474" s="33" t="s">
        <v>2643</v>
      </c>
      <c r="H474" s="33"/>
      <c r="I474" s="26" t="s">
        <v>8</v>
      </c>
      <c r="J474" s="26" t="s">
        <v>753</v>
      </c>
      <c r="K474" s="26" t="s">
        <v>2643</v>
      </c>
      <c r="L474" s="26"/>
      <c r="M474" s="32"/>
      <c r="N474" s="32"/>
      <c r="O474" s="37"/>
      <c r="P474" s="35"/>
      <c r="Q474" s="35"/>
    </row>
    <row r="475">
      <c r="A475" s="8">
        <v>12.0</v>
      </c>
      <c r="B475" s="2">
        <v>9.0</v>
      </c>
      <c r="C475" s="2" t="s">
        <v>1973</v>
      </c>
      <c r="D475" s="2" t="s">
        <v>7</v>
      </c>
      <c r="E475" s="2" t="s">
        <v>19</v>
      </c>
      <c r="F475" s="33" t="s">
        <v>755</v>
      </c>
      <c r="G475" s="33" t="s">
        <v>2644</v>
      </c>
      <c r="H475" s="33"/>
      <c r="I475" s="26" t="s">
        <v>19</v>
      </c>
      <c r="J475" s="26" t="s">
        <v>755</v>
      </c>
      <c r="K475" s="26" t="s">
        <v>2644</v>
      </c>
      <c r="L475" s="26"/>
      <c r="M475" s="32" t="s">
        <v>1979</v>
      </c>
      <c r="N475" s="32" t="s">
        <v>1979</v>
      </c>
      <c r="O475" s="37"/>
      <c r="P475" s="35"/>
      <c r="Q475" s="35"/>
    </row>
    <row r="476">
      <c r="A476" s="8">
        <v>12.0</v>
      </c>
      <c r="B476" s="2">
        <v>9.0</v>
      </c>
      <c r="C476" s="2" t="s">
        <v>1973</v>
      </c>
      <c r="D476" s="2" t="s">
        <v>7</v>
      </c>
      <c r="E476" s="2" t="s">
        <v>19</v>
      </c>
      <c r="F476" s="33" t="s">
        <v>1771</v>
      </c>
      <c r="G476" s="33" t="s">
        <v>2645</v>
      </c>
      <c r="H476" s="33"/>
      <c r="I476" s="26" t="s">
        <v>19</v>
      </c>
      <c r="J476" s="26" t="s">
        <v>1771</v>
      </c>
      <c r="K476" s="26" t="s">
        <v>2645</v>
      </c>
      <c r="L476" s="26"/>
      <c r="M476" s="32" t="s">
        <v>1979</v>
      </c>
      <c r="N476" s="32" t="s">
        <v>1979</v>
      </c>
      <c r="O476" s="37"/>
      <c r="P476" s="35"/>
      <c r="Q476" s="35"/>
    </row>
    <row r="477">
      <c r="A477" s="8">
        <v>12.0</v>
      </c>
      <c r="B477" s="2">
        <v>10.0</v>
      </c>
      <c r="C477" s="2" t="s">
        <v>1973</v>
      </c>
      <c r="D477" s="2" t="s">
        <v>7</v>
      </c>
      <c r="E477" s="2" t="s">
        <v>8</v>
      </c>
      <c r="F477" s="33" t="s">
        <v>759</v>
      </c>
      <c r="G477" s="33" t="s">
        <v>2646</v>
      </c>
      <c r="H477" s="33"/>
      <c r="I477" s="26" t="s">
        <v>8</v>
      </c>
      <c r="J477" s="26" t="s">
        <v>759</v>
      </c>
      <c r="K477" s="26" t="s">
        <v>2646</v>
      </c>
      <c r="L477" s="26"/>
      <c r="M477" s="32" t="s">
        <v>1979</v>
      </c>
      <c r="N477" s="32" t="s">
        <v>1979</v>
      </c>
      <c r="O477" s="37"/>
      <c r="P477" s="35"/>
      <c r="Q477" s="35"/>
    </row>
    <row r="478">
      <c r="A478" s="8">
        <v>12.0</v>
      </c>
      <c r="B478" s="2">
        <v>11.0</v>
      </c>
      <c r="C478" s="2" t="s">
        <v>1967</v>
      </c>
      <c r="D478" s="2" t="s">
        <v>7</v>
      </c>
      <c r="E478" s="2" t="s">
        <v>19</v>
      </c>
      <c r="F478" s="33" t="s">
        <v>1181</v>
      </c>
      <c r="G478" s="33" t="s">
        <v>1182</v>
      </c>
      <c r="H478" s="33"/>
      <c r="I478" s="26" t="s">
        <v>19</v>
      </c>
      <c r="J478" s="26" t="s">
        <v>1181</v>
      </c>
      <c r="K478" s="26" t="s">
        <v>1182</v>
      </c>
      <c r="L478" s="26"/>
      <c r="M478" s="32"/>
      <c r="N478" s="32"/>
      <c r="O478" s="37"/>
      <c r="P478" s="35"/>
      <c r="Q478" s="35"/>
    </row>
    <row r="479">
      <c r="A479" s="22">
        <v>12.0</v>
      </c>
      <c r="B479" s="22">
        <v>12.0</v>
      </c>
      <c r="C479" s="2" t="s">
        <v>1971</v>
      </c>
      <c r="D479" s="2" t="s">
        <v>7</v>
      </c>
      <c r="E479" s="2" t="s">
        <v>19</v>
      </c>
      <c r="F479" s="33" t="s">
        <v>1183</v>
      </c>
      <c r="G479" s="33" t="s">
        <v>2647</v>
      </c>
      <c r="H479" s="33"/>
      <c r="I479" s="26" t="s">
        <v>19</v>
      </c>
      <c r="J479" s="26" t="s">
        <v>1183</v>
      </c>
      <c r="K479" s="26" t="s">
        <v>1184</v>
      </c>
      <c r="L479" s="26"/>
      <c r="M479" s="32" t="s">
        <v>1979</v>
      </c>
      <c r="N479" s="32" t="s">
        <v>1979</v>
      </c>
      <c r="O479" s="37"/>
      <c r="P479" s="35"/>
      <c r="Q479" s="35"/>
    </row>
    <row r="480">
      <c r="A480" s="22">
        <v>12.0</v>
      </c>
      <c r="B480" s="22">
        <v>12.0</v>
      </c>
      <c r="C480" s="2" t="s">
        <v>1971</v>
      </c>
      <c r="D480" s="2" t="s">
        <v>7</v>
      </c>
      <c r="E480" s="2" t="s">
        <v>19</v>
      </c>
      <c r="F480" s="33" t="s">
        <v>1185</v>
      </c>
      <c r="G480" s="33" t="s">
        <v>2648</v>
      </c>
      <c r="H480" s="33"/>
      <c r="I480" s="26" t="s">
        <v>19</v>
      </c>
      <c r="J480" s="26" t="s">
        <v>1775</v>
      </c>
      <c r="K480" s="26" t="s">
        <v>2648</v>
      </c>
      <c r="L480" s="26"/>
      <c r="M480" s="32"/>
      <c r="N480" s="32"/>
      <c r="O480" s="37"/>
      <c r="P480" s="35"/>
      <c r="Q480" s="35"/>
    </row>
    <row r="481">
      <c r="A481" s="8">
        <v>12.0</v>
      </c>
      <c r="B481" s="2">
        <v>13.0</v>
      </c>
      <c r="C481" s="2" t="s">
        <v>1973</v>
      </c>
      <c r="D481" s="2" t="s">
        <v>7</v>
      </c>
      <c r="E481" s="2" t="s">
        <v>19</v>
      </c>
      <c r="F481" s="33" t="s">
        <v>765</v>
      </c>
      <c r="G481" s="33" t="s">
        <v>2649</v>
      </c>
      <c r="H481" s="33"/>
      <c r="I481" s="26" t="s">
        <v>19</v>
      </c>
      <c r="J481" s="26" t="s">
        <v>765</v>
      </c>
      <c r="K481" s="26" t="s">
        <v>2650</v>
      </c>
      <c r="L481" s="26"/>
      <c r="M481" s="32"/>
      <c r="N481" s="32"/>
      <c r="O481" s="37"/>
      <c r="P481" s="35"/>
      <c r="Q481" s="35"/>
    </row>
    <row r="482">
      <c r="A482" s="8">
        <v>12.0</v>
      </c>
      <c r="B482" s="2">
        <v>13.0</v>
      </c>
      <c r="C482" s="2" t="s">
        <v>1973</v>
      </c>
      <c r="D482" s="2" t="s">
        <v>7</v>
      </c>
      <c r="E482" s="2" t="s">
        <v>19</v>
      </c>
      <c r="F482" s="33" t="s">
        <v>767</v>
      </c>
      <c r="G482" s="33" t="s">
        <v>2651</v>
      </c>
      <c r="H482" s="33"/>
      <c r="I482" s="26" t="s">
        <v>19</v>
      </c>
      <c r="J482" s="26" t="s">
        <v>767</v>
      </c>
      <c r="K482" s="26" t="s">
        <v>2652</v>
      </c>
      <c r="L482" s="26"/>
      <c r="M482" s="32" t="s">
        <v>1979</v>
      </c>
      <c r="N482" s="32" t="s">
        <v>1979</v>
      </c>
      <c r="O482" s="37"/>
      <c r="P482" s="35"/>
      <c r="Q482" s="35"/>
    </row>
    <row r="483">
      <c r="A483" s="8">
        <v>12.0</v>
      </c>
      <c r="B483" s="2">
        <v>14.0</v>
      </c>
      <c r="C483" s="2" t="s">
        <v>1973</v>
      </c>
      <c r="D483" s="2" t="s">
        <v>7</v>
      </c>
      <c r="E483" s="2" t="s">
        <v>19</v>
      </c>
      <c r="F483" s="33" t="s">
        <v>1779</v>
      </c>
      <c r="G483" s="33" t="s">
        <v>2653</v>
      </c>
      <c r="H483" s="33"/>
      <c r="I483" s="26" t="s">
        <v>19</v>
      </c>
      <c r="J483" s="26" t="s">
        <v>1779</v>
      </c>
      <c r="K483" s="26" t="s">
        <v>2654</v>
      </c>
      <c r="L483" s="26"/>
      <c r="M483" s="32" t="s">
        <v>1979</v>
      </c>
      <c r="N483" s="32" t="s">
        <v>1979</v>
      </c>
      <c r="O483" s="37"/>
      <c r="P483" s="35"/>
      <c r="Q483" s="35"/>
    </row>
    <row r="484">
      <c r="A484" s="8">
        <v>12.0</v>
      </c>
      <c r="B484" s="2">
        <v>14.0</v>
      </c>
      <c r="C484" s="2" t="s">
        <v>1973</v>
      </c>
      <c r="D484" s="2" t="s">
        <v>7</v>
      </c>
      <c r="E484" s="2" t="s">
        <v>8</v>
      </c>
      <c r="F484" s="33" t="s">
        <v>771</v>
      </c>
      <c r="G484" s="33" t="s">
        <v>2655</v>
      </c>
      <c r="H484" s="33"/>
      <c r="I484" s="26" t="s">
        <v>8</v>
      </c>
      <c r="J484" s="26" t="s">
        <v>771</v>
      </c>
      <c r="K484" s="26" t="s">
        <v>772</v>
      </c>
      <c r="L484" s="26"/>
      <c r="M484" s="32" t="s">
        <v>1979</v>
      </c>
      <c r="N484" s="32" t="s">
        <v>1979</v>
      </c>
      <c r="O484" s="37"/>
      <c r="P484" s="35"/>
      <c r="Q484" s="35"/>
    </row>
    <row r="485">
      <c r="A485" s="8">
        <v>12.0</v>
      </c>
      <c r="B485" s="2">
        <v>14.0</v>
      </c>
      <c r="C485" s="2" t="s">
        <v>1973</v>
      </c>
      <c r="D485" s="2" t="s">
        <v>7</v>
      </c>
      <c r="E485" s="2" t="s">
        <v>19</v>
      </c>
      <c r="F485" s="33" t="s">
        <v>773</v>
      </c>
      <c r="G485" s="33" t="s">
        <v>2656</v>
      </c>
      <c r="H485" s="33"/>
      <c r="I485" s="26" t="s">
        <v>19</v>
      </c>
      <c r="J485" s="26" t="s">
        <v>773</v>
      </c>
      <c r="K485" s="26" t="s">
        <v>774</v>
      </c>
      <c r="L485" s="26"/>
      <c r="M485" s="32" t="s">
        <v>1979</v>
      </c>
      <c r="N485" s="32" t="s">
        <v>1979</v>
      </c>
      <c r="O485" s="37"/>
      <c r="P485" s="35"/>
      <c r="Q485" s="35"/>
    </row>
    <row r="486">
      <c r="A486" s="8">
        <v>12.0</v>
      </c>
      <c r="B486" s="2">
        <v>15.0</v>
      </c>
      <c r="C486" s="2" t="s">
        <v>1973</v>
      </c>
      <c r="D486" s="2" t="s">
        <v>7</v>
      </c>
      <c r="E486" s="2" t="s">
        <v>19</v>
      </c>
      <c r="F486" s="33" t="s">
        <v>1781</v>
      </c>
      <c r="G486" s="33" t="s">
        <v>2657</v>
      </c>
      <c r="H486" s="33"/>
      <c r="I486" s="26" t="s">
        <v>19</v>
      </c>
      <c r="J486" s="26" t="s">
        <v>1781</v>
      </c>
      <c r="K486" s="26" t="s">
        <v>2657</v>
      </c>
      <c r="L486" s="26"/>
      <c r="M486" s="32" t="s">
        <v>1979</v>
      </c>
      <c r="N486" s="32" t="s">
        <v>1979</v>
      </c>
      <c r="O486" s="37"/>
      <c r="P486" s="35"/>
      <c r="Q486" s="35"/>
    </row>
    <row r="487">
      <c r="A487" s="8">
        <v>12.0</v>
      </c>
      <c r="B487" s="2">
        <v>16.0</v>
      </c>
      <c r="C487" s="2" t="s">
        <v>1967</v>
      </c>
      <c r="D487" s="2" t="s">
        <v>7</v>
      </c>
      <c r="E487" s="2" t="s">
        <v>19</v>
      </c>
      <c r="F487" s="33" t="s">
        <v>1187</v>
      </c>
      <c r="G487" s="33" t="s">
        <v>2658</v>
      </c>
      <c r="H487" s="33"/>
      <c r="I487" s="26" t="s">
        <v>19</v>
      </c>
      <c r="J487" s="26" t="s">
        <v>1187</v>
      </c>
      <c r="K487" s="26" t="s">
        <v>2659</v>
      </c>
      <c r="L487" s="26"/>
      <c r="M487" s="32"/>
      <c r="N487" s="32"/>
      <c r="O487" s="37"/>
      <c r="P487" s="35"/>
      <c r="Q487" s="35"/>
    </row>
    <row r="488">
      <c r="A488" s="8">
        <v>12.0</v>
      </c>
      <c r="B488" s="2">
        <v>16.0</v>
      </c>
      <c r="C488" s="2" t="s">
        <v>1967</v>
      </c>
      <c r="D488" s="2" t="s">
        <v>7</v>
      </c>
      <c r="E488" s="2" t="s">
        <v>19</v>
      </c>
      <c r="F488" s="33" t="s">
        <v>1189</v>
      </c>
      <c r="G488" s="33" t="s">
        <v>2660</v>
      </c>
      <c r="H488" s="33"/>
      <c r="I488" s="26" t="s">
        <v>19</v>
      </c>
      <c r="J488" s="26" t="s">
        <v>1189</v>
      </c>
      <c r="K488" s="26" t="s">
        <v>2661</v>
      </c>
      <c r="L488" s="26"/>
      <c r="M488" s="32" t="s">
        <v>1979</v>
      </c>
      <c r="N488" s="32" t="s">
        <v>1979</v>
      </c>
      <c r="O488" s="37"/>
      <c r="P488" s="35"/>
      <c r="Q488" s="35"/>
    </row>
    <row r="489">
      <c r="A489" s="22">
        <v>12.0</v>
      </c>
      <c r="B489" s="22">
        <v>17.0</v>
      </c>
      <c r="C489" s="2" t="s">
        <v>1971</v>
      </c>
      <c r="D489" s="12" t="s">
        <v>59</v>
      </c>
      <c r="E489" s="2" t="s">
        <v>8</v>
      </c>
      <c r="F489" s="33" t="s">
        <v>1191</v>
      </c>
      <c r="G489" s="33" t="s">
        <v>2662</v>
      </c>
      <c r="H489" s="33"/>
      <c r="I489" s="26" t="s">
        <v>8</v>
      </c>
      <c r="J489" s="26" t="s">
        <v>1191</v>
      </c>
      <c r="K489" s="26" t="s">
        <v>2662</v>
      </c>
      <c r="L489" s="26"/>
      <c r="M489" s="32" t="s">
        <v>1979</v>
      </c>
      <c r="N489" s="32" t="s">
        <v>1979</v>
      </c>
      <c r="O489" s="37"/>
      <c r="P489" s="35"/>
      <c r="Q489" s="35"/>
    </row>
    <row r="490">
      <c r="A490" s="22">
        <v>12.0</v>
      </c>
      <c r="B490" s="22">
        <v>17.0</v>
      </c>
      <c r="C490" s="2" t="s">
        <v>1971</v>
      </c>
      <c r="D490" s="12" t="s">
        <v>59</v>
      </c>
      <c r="E490" s="2" t="s">
        <v>19</v>
      </c>
      <c r="F490" s="33" t="s">
        <v>1193</v>
      </c>
      <c r="G490" s="33" t="s">
        <v>1194</v>
      </c>
      <c r="H490" s="33"/>
      <c r="I490" s="26" t="s">
        <v>19</v>
      </c>
      <c r="J490" s="26" t="s">
        <v>1193</v>
      </c>
      <c r="K490" s="26" t="s">
        <v>1194</v>
      </c>
      <c r="L490" s="26"/>
      <c r="M490" s="32" t="s">
        <v>1979</v>
      </c>
      <c r="N490" s="32" t="s">
        <v>1979</v>
      </c>
      <c r="O490" s="37"/>
      <c r="P490" s="35"/>
      <c r="Q490" s="35"/>
    </row>
    <row r="491">
      <c r="A491" s="22">
        <v>12.0</v>
      </c>
      <c r="B491" s="22">
        <v>17.0</v>
      </c>
      <c r="C491" s="2" t="s">
        <v>1971</v>
      </c>
      <c r="D491" s="12" t="s">
        <v>59</v>
      </c>
      <c r="E491" s="2" t="s">
        <v>19</v>
      </c>
      <c r="F491" s="33" t="s">
        <v>1783</v>
      </c>
      <c r="G491" s="33" t="s">
        <v>2663</v>
      </c>
      <c r="H491" s="33"/>
      <c r="I491" s="26" t="s">
        <v>19</v>
      </c>
      <c r="J491" s="26" t="s">
        <v>1783</v>
      </c>
      <c r="K491" s="26" t="s">
        <v>1784</v>
      </c>
      <c r="L491" s="26"/>
      <c r="M491" s="32" t="s">
        <v>1979</v>
      </c>
      <c r="N491" s="32" t="s">
        <v>1979</v>
      </c>
      <c r="O491" s="37"/>
      <c r="P491" s="35"/>
      <c r="Q491" s="35"/>
    </row>
    <row r="492">
      <c r="A492" s="22">
        <v>12.0</v>
      </c>
      <c r="B492" s="22">
        <v>17.0</v>
      </c>
      <c r="C492" s="2" t="s">
        <v>1971</v>
      </c>
      <c r="D492" s="12" t="s">
        <v>59</v>
      </c>
      <c r="E492" s="2" t="s">
        <v>8</v>
      </c>
      <c r="F492" s="33" t="s">
        <v>2664</v>
      </c>
      <c r="G492" s="33" t="s">
        <v>2665</v>
      </c>
      <c r="H492" s="33"/>
      <c r="I492" s="26" t="s">
        <v>8</v>
      </c>
      <c r="J492" s="26" t="s">
        <v>1785</v>
      </c>
      <c r="K492" s="26" t="s">
        <v>2665</v>
      </c>
      <c r="L492" s="26"/>
      <c r="M492" s="32"/>
      <c r="N492" s="32"/>
      <c r="O492" s="37"/>
      <c r="P492" s="35"/>
      <c r="Q492" s="35"/>
    </row>
    <row r="493">
      <c r="A493" s="8">
        <v>12.0</v>
      </c>
      <c r="B493" s="2">
        <v>18.0</v>
      </c>
      <c r="C493" s="2" t="s">
        <v>1973</v>
      </c>
      <c r="D493" s="12" t="s">
        <v>59</v>
      </c>
      <c r="E493" s="2" t="s">
        <v>19</v>
      </c>
      <c r="F493" s="33" t="s">
        <v>1790</v>
      </c>
      <c r="G493" s="33" t="s">
        <v>778</v>
      </c>
      <c r="H493" s="33"/>
      <c r="I493" s="26" t="s">
        <v>19</v>
      </c>
      <c r="J493" s="26" t="s">
        <v>1790</v>
      </c>
      <c r="K493" s="26" t="s">
        <v>778</v>
      </c>
      <c r="L493" s="26"/>
      <c r="M493" s="32"/>
      <c r="N493" s="32"/>
      <c r="O493" s="37"/>
      <c r="P493" s="35"/>
      <c r="Q493" s="35"/>
    </row>
    <row r="494">
      <c r="A494" s="8">
        <v>12.0</v>
      </c>
      <c r="B494" s="2">
        <v>18.0</v>
      </c>
      <c r="C494" s="2" t="s">
        <v>1973</v>
      </c>
      <c r="D494" s="12" t="s">
        <v>59</v>
      </c>
      <c r="E494" s="2" t="s">
        <v>19</v>
      </c>
      <c r="F494" s="33" t="s">
        <v>1786</v>
      </c>
      <c r="G494" s="33" t="s">
        <v>2666</v>
      </c>
      <c r="H494" s="33"/>
      <c r="I494" s="26" t="s">
        <v>19</v>
      </c>
      <c r="J494" s="26" t="s">
        <v>1786</v>
      </c>
      <c r="K494" s="26" t="s">
        <v>2666</v>
      </c>
      <c r="L494" s="26"/>
      <c r="M494" s="32" t="s">
        <v>1979</v>
      </c>
      <c r="N494" s="32" t="s">
        <v>1979</v>
      </c>
      <c r="O494" s="37"/>
      <c r="P494" s="35"/>
      <c r="Q494" s="35"/>
    </row>
    <row r="495">
      <c r="A495" s="8">
        <v>12.0</v>
      </c>
      <c r="B495" s="2">
        <v>18.0</v>
      </c>
      <c r="C495" s="2" t="s">
        <v>1973</v>
      </c>
      <c r="D495" s="12" t="s">
        <v>59</v>
      </c>
      <c r="E495" s="2" t="s">
        <v>19</v>
      </c>
      <c r="F495" s="33" t="s">
        <v>1788</v>
      </c>
      <c r="G495" s="33" t="s">
        <v>2667</v>
      </c>
      <c r="H495" s="33"/>
      <c r="I495" s="26" t="s">
        <v>19</v>
      </c>
      <c r="J495" s="26" t="s">
        <v>1788</v>
      </c>
      <c r="K495" s="26" t="s">
        <v>2667</v>
      </c>
      <c r="L495" s="26"/>
      <c r="M495" s="32" t="s">
        <v>1979</v>
      </c>
      <c r="N495" s="32" t="s">
        <v>1979</v>
      </c>
      <c r="O495" s="37"/>
      <c r="P495" s="35"/>
      <c r="Q495" s="35"/>
    </row>
    <row r="496">
      <c r="A496" s="8">
        <v>12.0</v>
      </c>
      <c r="B496" s="2">
        <v>18.0</v>
      </c>
      <c r="C496" s="2" t="s">
        <v>1973</v>
      </c>
      <c r="D496" s="12" t="s">
        <v>59</v>
      </c>
      <c r="E496" s="2" t="s">
        <v>19</v>
      </c>
      <c r="F496" s="33" t="s">
        <v>1792</v>
      </c>
      <c r="G496" s="33" t="s">
        <v>2668</v>
      </c>
      <c r="H496" s="33"/>
      <c r="I496" s="26" t="s">
        <v>19</v>
      </c>
      <c r="J496" s="26" t="s">
        <v>1792</v>
      </c>
      <c r="K496" s="26" t="s">
        <v>2668</v>
      </c>
      <c r="L496" s="26"/>
      <c r="M496" s="32" t="s">
        <v>1979</v>
      </c>
      <c r="N496" s="32" t="s">
        <v>1979</v>
      </c>
      <c r="O496" s="37"/>
      <c r="P496" s="35"/>
      <c r="Q496" s="35"/>
    </row>
    <row r="497">
      <c r="A497" s="8">
        <v>12.0</v>
      </c>
      <c r="B497" s="2">
        <v>19.0</v>
      </c>
      <c r="C497" s="2" t="s">
        <v>1973</v>
      </c>
      <c r="D497" s="12" t="s">
        <v>59</v>
      </c>
      <c r="E497" s="2" t="s">
        <v>19</v>
      </c>
      <c r="F497" s="33" t="s">
        <v>779</v>
      </c>
      <c r="G497" s="33" t="s">
        <v>2669</v>
      </c>
      <c r="H497" s="33"/>
      <c r="I497" s="26" t="s">
        <v>19</v>
      </c>
      <c r="J497" s="26" t="s">
        <v>779</v>
      </c>
      <c r="K497" s="26" t="s">
        <v>2669</v>
      </c>
      <c r="L497" s="26"/>
      <c r="M497" s="32"/>
      <c r="N497" s="32"/>
      <c r="O497" s="37"/>
      <c r="P497" s="35"/>
      <c r="Q497" s="35"/>
    </row>
    <row r="498">
      <c r="A498" s="8">
        <v>12.0</v>
      </c>
      <c r="B498" s="2">
        <v>20.0</v>
      </c>
      <c r="C498" s="2" t="s">
        <v>1973</v>
      </c>
      <c r="D498" s="2" t="s">
        <v>40</v>
      </c>
      <c r="E498" s="2" t="s">
        <v>19</v>
      </c>
      <c r="F498" s="33" t="s">
        <v>781</v>
      </c>
      <c r="G498" s="33" t="s">
        <v>2670</v>
      </c>
      <c r="H498" s="33"/>
      <c r="I498" s="26" t="s">
        <v>19</v>
      </c>
      <c r="J498" s="26" t="s">
        <v>781</v>
      </c>
      <c r="K498" s="26" t="s">
        <v>2670</v>
      </c>
      <c r="L498" s="26"/>
      <c r="M498" s="32" t="s">
        <v>1979</v>
      </c>
      <c r="N498" s="32" t="s">
        <v>1979</v>
      </c>
      <c r="O498" s="37"/>
      <c r="P498" s="35"/>
      <c r="Q498" s="35"/>
    </row>
    <row r="499">
      <c r="A499" s="8">
        <v>12.0</v>
      </c>
      <c r="B499" s="2">
        <v>21.0</v>
      </c>
      <c r="C499" s="2" t="s">
        <v>1967</v>
      </c>
      <c r="D499" s="2" t="s">
        <v>40</v>
      </c>
      <c r="E499" s="2" t="s">
        <v>19</v>
      </c>
      <c r="F499" s="33" t="s">
        <v>1197</v>
      </c>
      <c r="G499" s="33" t="s">
        <v>2671</v>
      </c>
      <c r="H499" s="33"/>
      <c r="I499" s="26" t="s">
        <v>19</v>
      </c>
      <c r="J499" s="26" t="s">
        <v>1197</v>
      </c>
      <c r="K499" s="26" t="s">
        <v>1198</v>
      </c>
      <c r="L499" s="26"/>
      <c r="M499" s="32"/>
      <c r="N499" s="32"/>
      <c r="O499" s="37"/>
      <c r="P499" s="35"/>
      <c r="Q499" s="35"/>
    </row>
    <row r="500">
      <c r="A500" s="8">
        <v>12.0</v>
      </c>
      <c r="B500" s="2">
        <v>21.0</v>
      </c>
      <c r="C500" s="2" t="s">
        <v>1967</v>
      </c>
      <c r="D500" s="2" t="s">
        <v>40</v>
      </c>
      <c r="E500" s="2" t="s">
        <v>19</v>
      </c>
      <c r="F500" s="33" t="s">
        <v>785</v>
      </c>
      <c r="G500" s="33" t="s">
        <v>2672</v>
      </c>
      <c r="H500" s="33"/>
      <c r="I500" s="26" t="s">
        <v>19</v>
      </c>
      <c r="J500" s="26" t="s">
        <v>785</v>
      </c>
      <c r="K500" s="26" t="s">
        <v>2672</v>
      </c>
      <c r="L500" s="26"/>
      <c r="M500" s="32" t="s">
        <v>1979</v>
      </c>
      <c r="N500" s="32" t="s">
        <v>1979</v>
      </c>
      <c r="O500" s="37"/>
      <c r="P500" s="35"/>
      <c r="Q500" s="35"/>
    </row>
    <row r="501">
      <c r="A501" s="22">
        <v>12.0</v>
      </c>
      <c r="B501" s="22">
        <v>22.0</v>
      </c>
      <c r="C501" s="2" t="s">
        <v>1971</v>
      </c>
      <c r="D501" s="2" t="s">
        <v>40</v>
      </c>
      <c r="E501" s="2"/>
      <c r="F501" s="33"/>
      <c r="G501" s="33"/>
      <c r="H501" s="33"/>
      <c r="I501" s="26" t="s">
        <v>19</v>
      </c>
      <c r="J501" s="26" t="s">
        <v>1796</v>
      </c>
      <c r="K501" s="26" t="s">
        <v>1797</v>
      </c>
      <c r="L501" s="26"/>
      <c r="M501" s="32" t="s">
        <v>1979</v>
      </c>
      <c r="N501" s="32"/>
      <c r="O501" s="37" t="s">
        <v>1980</v>
      </c>
      <c r="P501" s="45" t="s">
        <v>2673</v>
      </c>
      <c r="Q501" s="35"/>
    </row>
    <row r="502">
      <c r="A502" s="8">
        <v>12.0</v>
      </c>
      <c r="B502" s="2">
        <v>23.0</v>
      </c>
      <c r="C502" s="2" t="s">
        <v>1973</v>
      </c>
      <c r="D502" s="2" t="s">
        <v>40</v>
      </c>
      <c r="E502" s="2" t="s">
        <v>19</v>
      </c>
      <c r="F502" s="33" t="s">
        <v>787</v>
      </c>
      <c r="G502" s="33" t="s">
        <v>2674</v>
      </c>
      <c r="H502" s="33"/>
      <c r="I502" s="26" t="s">
        <v>19</v>
      </c>
      <c r="J502" s="26" t="s">
        <v>787</v>
      </c>
      <c r="K502" s="26" t="s">
        <v>2675</v>
      </c>
      <c r="L502" s="26"/>
      <c r="M502" s="32" t="s">
        <v>1979</v>
      </c>
      <c r="N502" s="32" t="s">
        <v>1979</v>
      </c>
      <c r="O502" s="37"/>
      <c r="P502" s="35"/>
      <c r="Q502" s="35"/>
    </row>
    <row r="503">
      <c r="A503" s="8">
        <v>12.0</v>
      </c>
      <c r="B503" s="2">
        <v>24.0</v>
      </c>
      <c r="C503" s="2" t="s">
        <v>1973</v>
      </c>
      <c r="D503" s="2" t="s">
        <v>40</v>
      </c>
      <c r="E503" s="2" t="s">
        <v>19</v>
      </c>
      <c r="F503" s="33" t="s">
        <v>789</v>
      </c>
      <c r="G503" s="33" t="s">
        <v>2676</v>
      </c>
      <c r="H503" s="33"/>
      <c r="I503" s="26" t="s">
        <v>19</v>
      </c>
      <c r="J503" s="26" t="s">
        <v>789</v>
      </c>
      <c r="K503" s="26" t="s">
        <v>790</v>
      </c>
      <c r="L503" s="26"/>
      <c r="M503" s="32" t="s">
        <v>1979</v>
      </c>
      <c r="N503" s="32" t="s">
        <v>1979</v>
      </c>
      <c r="O503" s="37"/>
      <c r="P503" s="35"/>
      <c r="Q503" s="35"/>
    </row>
    <row r="504">
      <c r="A504" s="22">
        <v>12.0</v>
      </c>
      <c r="B504" s="22">
        <v>27.0</v>
      </c>
      <c r="C504" s="2" t="s">
        <v>1971</v>
      </c>
      <c r="D504" s="2" t="s">
        <v>40</v>
      </c>
      <c r="E504" s="2" t="s">
        <v>19</v>
      </c>
      <c r="F504" s="33" t="s">
        <v>1802</v>
      </c>
      <c r="G504" s="33" t="s">
        <v>2677</v>
      </c>
      <c r="H504" s="33"/>
      <c r="I504" s="26" t="s">
        <v>19</v>
      </c>
      <c r="J504" s="26" t="s">
        <v>1802</v>
      </c>
      <c r="K504" s="26" t="s">
        <v>2678</v>
      </c>
      <c r="L504" s="26"/>
      <c r="M504" s="32" t="s">
        <v>1979</v>
      </c>
      <c r="N504" s="32" t="s">
        <v>1979</v>
      </c>
      <c r="O504" s="37"/>
      <c r="P504" s="35"/>
      <c r="Q504" s="35"/>
    </row>
    <row r="505">
      <c r="A505" s="22">
        <v>12.0</v>
      </c>
      <c r="B505" s="22">
        <v>27.0</v>
      </c>
      <c r="C505" s="2" t="s">
        <v>1971</v>
      </c>
      <c r="D505" s="2" t="s">
        <v>40</v>
      </c>
      <c r="E505" s="2" t="s">
        <v>19</v>
      </c>
      <c r="F505" s="33" t="s">
        <v>1203</v>
      </c>
      <c r="G505" s="33" t="s">
        <v>2679</v>
      </c>
      <c r="H505" s="33"/>
      <c r="I505" s="26" t="s">
        <v>19</v>
      </c>
      <c r="J505" s="26" t="s">
        <v>1804</v>
      </c>
      <c r="K505" s="26" t="s">
        <v>1805</v>
      </c>
      <c r="L505" s="26"/>
      <c r="M505" s="32"/>
      <c r="N505" s="32"/>
      <c r="O505" s="37"/>
      <c r="P505" s="35"/>
      <c r="Q505" s="35"/>
    </row>
    <row r="506">
      <c r="A506" s="8">
        <v>12.0</v>
      </c>
      <c r="B506" s="2">
        <v>28.0</v>
      </c>
      <c r="C506" s="2" t="s">
        <v>1973</v>
      </c>
      <c r="D506" s="2" t="s">
        <v>40</v>
      </c>
      <c r="E506" s="2" t="s">
        <v>8</v>
      </c>
      <c r="F506" s="33" t="s">
        <v>1806</v>
      </c>
      <c r="G506" s="33" t="s">
        <v>2680</v>
      </c>
      <c r="H506" s="33"/>
      <c r="I506" s="26" t="s">
        <v>8</v>
      </c>
      <c r="J506" s="26" t="s">
        <v>1806</v>
      </c>
      <c r="K506" s="26" t="s">
        <v>2680</v>
      </c>
      <c r="L506" s="26"/>
      <c r="M506" s="32" t="s">
        <v>1979</v>
      </c>
      <c r="N506" s="32" t="s">
        <v>1979</v>
      </c>
      <c r="O506" s="37"/>
      <c r="P506" s="35"/>
      <c r="Q506" s="35"/>
    </row>
    <row r="507">
      <c r="A507" s="8">
        <v>12.0</v>
      </c>
      <c r="B507" s="2">
        <v>29.0</v>
      </c>
      <c r="C507" s="2" t="s">
        <v>1973</v>
      </c>
      <c r="D507" s="2" t="s">
        <v>40</v>
      </c>
      <c r="E507" s="2" t="s">
        <v>19</v>
      </c>
      <c r="F507" s="33" t="s">
        <v>1808</v>
      </c>
      <c r="G507" s="33" t="s">
        <v>1809</v>
      </c>
      <c r="H507" s="33"/>
      <c r="I507" s="26" t="s">
        <v>19</v>
      </c>
      <c r="J507" s="26" t="s">
        <v>1808</v>
      </c>
      <c r="K507" s="26" t="s">
        <v>1809</v>
      </c>
      <c r="L507" s="26"/>
      <c r="M507" s="32" t="s">
        <v>1979</v>
      </c>
      <c r="N507" s="32" t="s">
        <v>1979</v>
      </c>
      <c r="O507" s="37"/>
      <c r="P507" s="35"/>
      <c r="Q507" s="35"/>
    </row>
    <row r="508">
      <c r="A508" s="8">
        <v>12.0</v>
      </c>
      <c r="B508" s="2">
        <v>29.0</v>
      </c>
      <c r="C508" s="2" t="s">
        <v>1973</v>
      </c>
      <c r="D508" s="2" t="s">
        <v>40</v>
      </c>
      <c r="E508" s="2" t="s">
        <v>19</v>
      </c>
      <c r="F508" s="33" t="s">
        <v>1810</v>
      </c>
      <c r="G508" s="33" t="s">
        <v>1811</v>
      </c>
      <c r="H508" s="33"/>
      <c r="I508" s="26" t="s">
        <v>19</v>
      </c>
      <c r="J508" s="26" t="s">
        <v>1810</v>
      </c>
      <c r="K508" s="26" t="s">
        <v>1811</v>
      </c>
      <c r="L508" s="26"/>
      <c r="M508" s="32" t="s">
        <v>1979</v>
      </c>
      <c r="N508" s="32" t="s">
        <v>1979</v>
      </c>
      <c r="O508" s="37"/>
      <c r="P508" s="35"/>
      <c r="Q508" s="35"/>
    </row>
    <row r="509">
      <c r="A509" s="8">
        <v>12.0</v>
      </c>
      <c r="B509" s="2">
        <v>30.0</v>
      </c>
      <c r="C509" s="2" t="s">
        <v>1973</v>
      </c>
      <c r="D509" s="2" t="s">
        <v>28</v>
      </c>
      <c r="E509" s="2" t="s">
        <v>19</v>
      </c>
      <c r="F509" s="33" t="s">
        <v>1812</v>
      </c>
      <c r="G509" s="33" t="s">
        <v>2681</v>
      </c>
      <c r="H509" s="33"/>
      <c r="I509" s="26" t="s">
        <v>19</v>
      </c>
      <c r="J509" s="26" t="s">
        <v>1812</v>
      </c>
      <c r="K509" s="26" t="s">
        <v>2681</v>
      </c>
      <c r="L509" s="26"/>
      <c r="M509" s="32" t="s">
        <v>1979</v>
      </c>
      <c r="N509" s="32" t="s">
        <v>1979</v>
      </c>
      <c r="O509" s="37"/>
      <c r="P509" s="35"/>
      <c r="Q509" s="35"/>
    </row>
    <row r="510">
      <c r="A510" s="8">
        <v>12.0</v>
      </c>
      <c r="B510" s="2">
        <v>31.0</v>
      </c>
      <c r="C510" s="2" t="s">
        <v>1967</v>
      </c>
      <c r="D510" s="2" t="s">
        <v>28</v>
      </c>
      <c r="E510" s="2" t="s">
        <v>19</v>
      </c>
      <c r="F510" s="33" t="s">
        <v>795</v>
      </c>
      <c r="G510" s="33" t="s">
        <v>2682</v>
      </c>
      <c r="H510" s="33"/>
      <c r="I510" s="26" t="s">
        <v>19</v>
      </c>
      <c r="J510" s="26" t="s">
        <v>795</v>
      </c>
      <c r="K510" s="26" t="s">
        <v>2683</v>
      </c>
      <c r="L510" s="26"/>
      <c r="M510" s="32" t="s">
        <v>2106</v>
      </c>
      <c r="N510" s="32" t="s">
        <v>2106</v>
      </c>
      <c r="O510" s="37"/>
      <c r="P510" s="35"/>
      <c r="Q510" s="35"/>
    </row>
    <row r="511">
      <c r="A511" s="22">
        <v>12.0</v>
      </c>
      <c r="B511" s="22">
        <v>32.0</v>
      </c>
      <c r="C511" s="2" t="s">
        <v>1971</v>
      </c>
      <c r="D511" s="2" t="s">
        <v>28</v>
      </c>
      <c r="E511" s="2" t="s">
        <v>19</v>
      </c>
      <c r="F511" s="33" t="s">
        <v>1814</v>
      </c>
      <c r="G511" s="33" t="s">
        <v>1815</v>
      </c>
      <c r="H511" s="33"/>
      <c r="I511" s="26" t="s">
        <v>19</v>
      </c>
      <c r="J511" s="26" t="s">
        <v>1814</v>
      </c>
      <c r="K511" s="26" t="s">
        <v>1815</v>
      </c>
      <c r="L511" s="26"/>
      <c r="M511" s="32"/>
      <c r="N511" s="32"/>
      <c r="O511" s="37"/>
      <c r="P511" s="35"/>
      <c r="Q511" s="35"/>
    </row>
    <row r="512">
      <c r="A512" s="8">
        <v>12.0</v>
      </c>
      <c r="B512" s="2">
        <v>33.0</v>
      </c>
      <c r="C512" s="2" t="s">
        <v>1973</v>
      </c>
      <c r="D512" s="2" t="s">
        <v>28</v>
      </c>
      <c r="E512" s="2" t="s">
        <v>19</v>
      </c>
      <c r="F512" s="33" t="s">
        <v>1816</v>
      </c>
      <c r="G512" s="33" t="s">
        <v>2684</v>
      </c>
      <c r="H512" s="33"/>
      <c r="I512" s="26" t="s">
        <v>19</v>
      </c>
      <c r="J512" s="26" t="s">
        <v>1816</v>
      </c>
      <c r="K512" s="26" t="s">
        <v>2684</v>
      </c>
      <c r="L512" s="26"/>
      <c r="M512" s="32" t="s">
        <v>1979</v>
      </c>
      <c r="N512" s="32" t="s">
        <v>1979</v>
      </c>
      <c r="O512" s="37"/>
      <c r="P512" s="35"/>
      <c r="Q512" s="35"/>
    </row>
    <row r="513">
      <c r="A513" s="8">
        <v>12.0</v>
      </c>
      <c r="B513" s="2">
        <v>34.0</v>
      </c>
      <c r="C513" s="2" t="s">
        <v>1973</v>
      </c>
      <c r="D513" s="12" t="s">
        <v>47</v>
      </c>
      <c r="E513" s="2" t="s">
        <v>8</v>
      </c>
      <c r="F513" s="33" t="s">
        <v>797</v>
      </c>
      <c r="G513" s="33" t="s">
        <v>2685</v>
      </c>
      <c r="H513" s="33"/>
      <c r="I513" s="26" t="s">
        <v>8</v>
      </c>
      <c r="J513" s="26" t="s">
        <v>797</v>
      </c>
      <c r="K513" s="26" t="s">
        <v>798</v>
      </c>
      <c r="L513" s="26"/>
      <c r="M513" s="32"/>
      <c r="N513" s="32"/>
      <c r="O513" s="37"/>
      <c r="P513" s="35"/>
      <c r="Q513" s="35"/>
    </row>
    <row r="514">
      <c r="A514" s="8">
        <v>12.0</v>
      </c>
      <c r="B514" s="2">
        <v>36.0</v>
      </c>
      <c r="C514" s="2" t="s">
        <v>1967</v>
      </c>
      <c r="D514" s="12" t="s">
        <v>47</v>
      </c>
      <c r="E514" s="2" t="s">
        <v>8</v>
      </c>
      <c r="F514" s="33" t="s">
        <v>799</v>
      </c>
      <c r="G514" s="33" t="s">
        <v>2686</v>
      </c>
      <c r="H514" s="33"/>
      <c r="I514" s="26" t="s">
        <v>8</v>
      </c>
      <c r="J514" s="26" t="s">
        <v>799</v>
      </c>
      <c r="K514" s="26" t="s">
        <v>800</v>
      </c>
      <c r="L514" s="26"/>
      <c r="M514" s="32" t="s">
        <v>2106</v>
      </c>
      <c r="N514" s="32" t="s">
        <v>1979</v>
      </c>
      <c r="O514" s="37"/>
      <c r="P514" s="35"/>
      <c r="Q514" s="35"/>
    </row>
    <row r="515">
      <c r="A515" s="8">
        <v>12.0</v>
      </c>
      <c r="B515" s="2">
        <v>36.0</v>
      </c>
      <c r="C515" s="2" t="s">
        <v>1967</v>
      </c>
      <c r="D515" s="12" t="s">
        <v>47</v>
      </c>
      <c r="E515" s="2" t="s">
        <v>8</v>
      </c>
      <c r="F515" s="33" t="s">
        <v>2687</v>
      </c>
      <c r="G515" s="33" t="s">
        <v>2688</v>
      </c>
      <c r="H515" s="33"/>
      <c r="I515" s="26" t="s">
        <v>8</v>
      </c>
      <c r="J515" s="26" t="s">
        <v>2687</v>
      </c>
      <c r="K515" s="26" t="s">
        <v>2688</v>
      </c>
      <c r="L515" s="26"/>
      <c r="M515" s="32" t="s">
        <v>2106</v>
      </c>
      <c r="N515" s="32" t="s">
        <v>1979</v>
      </c>
      <c r="O515" s="37"/>
      <c r="P515" s="35"/>
      <c r="Q515" s="35"/>
    </row>
    <row r="516">
      <c r="A516" s="22">
        <v>12.0</v>
      </c>
      <c r="B516" s="22">
        <v>37.0</v>
      </c>
      <c r="C516" s="2" t="s">
        <v>1971</v>
      </c>
      <c r="D516" s="12" t="s">
        <v>47</v>
      </c>
      <c r="E516" s="2" t="s">
        <v>8</v>
      </c>
      <c r="F516" s="33" t="s">
        <v>1209</v>
      </c>
      <c r="G516" s="33" t="s">
        <v>1821</v>
      </c>
      <c r="H516" s="33"/>
      <c r="I516" s="26" t="s">
        <v>19</v>
      </c>
      <c r="J516" s="26" t="s">
        <v>1820</v>
      </c>
      <c r="K516" s="26" t="s">
        <v>2689</v>
      </c>
      <c r="L516" s="26"/>
      <c r="M516" s="32"/>
      <c r="N516" s="32"/>
      <c r="O516" s="37"/>
      <c r="P516" s="35"/>
      <c r="Q516" s="35"/>
    </row>
    <row r="517">
      <c r="A517" s="8">
        <v>12.0</v>
      </c>
      <c r="B517" s="2">
        <v>38.0</v>
      </c>
      <c r="C517" s="2" t="s">
        <v>1973</v>
      </c>
      <c r="D517" s="2" t="s">
        <v>72</v>
      </c>
      <c r="E517" s="2" t="s">
        <v>19</v>
      </c>
      <c r="F517" s="33" t="s">
        <v>1822</v>
      </c>
      <c r="G517" s="33" t="s">
        <v>2690</v>
      </c>
      <c r="H517" s="33"/>
      <c r="I517" s="26" t="s">
        <v>19</v>
      </c>
      <c r="J517" s="26" t="s">
        <v>1822</v>
      </c>
      <c r="K517" s="26" t="s">
        <v>2690</v>
      </c>
      <c r="L517" s="26"/>
      <c r="M517" s="32" t="s">
        <v>1979</v>
      </c>
      <c r="N517" s="32" t="s">
        <v>1979</v>
      </c>
      <c r="O517" s="37"/>
      <c r="P517" s="35"/>
      <c r="Q517" s="35"/>
    </row>
    <row r="518">
      <c r="A518" s="8">
        <v>12.0</v>
      </c>
      <c r="B518" s="2">
        <v>39.0</v>
      </c>
      <c r="C518" s="2" t="s">
        <v>1973</v>
      </c>
      <c r="D518" s="2" t="s">
        <v>72</v>
      </c>
      <c r="E518" s="2" t="s">
        <v>8</v>
      </c>
      <c r="F518" s="33" t="s">
        <v>805</v>
      </c>
      <c r="G518" s="33" t="s">
        <v>2691</v>
      </c>
      <c r="H518" s="33"/>
      <c r="I518" s="26" t="s">
        <v>8</v>
      </c>
      <c r="J518" s="26" t="s">
        <v>805</v>
      </c>
      <c r="K518" s="26" t="s">
        <v>806</v>
      </c>
      <c r="L518" s="26"/>
      <c r="M518" s="32" t="s">
        <v>1979</v>
      </c>
      <c r="N518" s="32" t="s">
        <v>1979</v>
      </c>
      <c r="O518" s="37"/>
      <c r="P518" s="35"/>
      <c r="Q518" s="35"/>
    </row>
    <row r="519">
      <c r="A519" s="8">
        <v>12.0</v>
      </c>
      <c r="B519" s="2">
        <v>39.0</v>
      </c>
      <c r="C519" s="2" t="s">
        <v>1973</v>
      </c>
      <c r="D519" s="2" t="s">
        <v>72</v>
      </c>
      <c r="E519" s="2" t="s">
        <v>8</v>
      </c>
      <c r="F519" s="33" t="s">
        <v>1826</v>
      </c>
      <c r="G519" s="33" t="s">
        <v>2692</v>
      </c>
      <c r="H519" s="33"/>
      <c r="I519" s="26" t="s">
        <v>8</v>
      </c>
      <c r="J519" s="26" t="s">
        <v>1826</v>
      </c>
      <c r="K519" s="26" t="s">
        <v>2692</v>
      </c>
      <c r="L519" s="26"/>
      <c r="M519" s="32" t="s">
        <v>1979</v>
      </c>
      <c r="N519" s="32" t="s">
        <v>1979</v>
      </c>
      <c r="O519" s="37"/>
      <c r="P519" s="35"/>
      <c r="Q519" s="35"/>
    </row>
    <row r="520">
      <c r="A520" s="8">
        <v>12.0</v>
      </c>
      <c r="B520" s="2">
        <v>40.0</v>
      </c>
      <c r="C520" s="2" t="s">
        <v>1973</v>
      </c>
      <c r="D520" s="2" t="s">
        <v>72</v>
      </c>
      <c r="E520" s="2" t="s">
        <v>19</v>
      </c>
      <c r="F520" s="33" t="s">
        <v>807</v>
      </c>
      <c r="G520" s="33" t="s">
        <v>2693</v>
      </c>
      <c r="H520" s="33"/>
      <c r="I520" s="26" t="s">
        <v>19</v>
      </c>
      <c r="J520" s="26" t="s">
        <v>807</v>
      </c>
      <c r="K520" s="26" t="s">
        <v>2694</v>
      </c>
      <c r="L520" s="26"/>
      <c r="M520" s="32" t="s">
        <v>1979</v>
      </c>
      <c r="N520" s="32" t="s">
        <v>1979</v>
      </c>
      <c r="O520" s="37"/>
      <c r="P520" s="35"/>
      <c r="Q520" s="35"/>
    </row>
    <row r="521">
      <c r="A521" s="8">
        <v>12.0</v>
      </c>
      <c r="B521" s="2">
        <v>40.0</v>
      </c>
      <c r="C521" s="2" t="s">
        <v>1973</v>
      </c>
      <c r="D521" s="2" t="s">
        <v>72</v>
      </c>
      <c r="E521" s="2" t="s">
        <v>19</v>
      </c>
      <c r="F521" s="33" t="s">
        <v>809</v>
      </c>
      <c r="G521" s="33" t="s">
        <v>2695</v>
      </c>
      <c r="H521" s="33"/>
      <c r="I521" s="26" t="s">
        <v>19</v>
      </c>
      <c r="J521" s="26" t="s">
        <v>1830</v>
      </c>
      <c r="K521" s="26" t="s">
        <v>810</v>
      </c>
      <c r="L521" s="26"/>
      <c r="M521" s="32"/>
      <c r="N521" s="32"/>
      <c r="O521" s="37"/>
      <c r="P521" s="35"/>
      <c r="Q521" s="35"/>
    </row>
    <row r="522">
      <c r="A522" s="8">
        <v>12.0</v>
      </c>
      <c r="B522" s="2">
        <v>40.0</v>
      </c>
      <c r="C522" s="2" t="s">
        <v>1973</v>
      </c>
      <c r="D522" s="2" t="s">
        <v>72</v>
      </c>
      <c r="E522" s="2" t="s">
        <v>19</v>
      </c>
      <c r="F522" s="33" t="s">
        <v>811</v>
      </c>
      <c r="G522" s="33" t="s">
        <v>2696</v>
      </c>
      <c r="H522" s="33"/>
      <c r="I522" s="26" t="s">
        <v>19</v>
      </c>
      <c r="J522" s="26" t="s">
        <v>811</v>
      </c>
      <c r="K522" s="26" t="s">
        <v>2696</v>
      </c>
      <c r="L522" s="26"/>
      <c r="M522" s="32" t="s">
        <v>1979</v>
      </c>
      <c r="N522" s="32" t="s">
        <v>1979</v>
      </c>
      <c r="O522" s="37"/>
      <c r="P522" s="35"/>
      <c r="Q522" s="35"/>
    </row>
    <row r="523">
      <c r="A523" s="8">
        <v>12.0</v>
      </c>
      <c r="B523" s="2">
        <v>41.0</v>
      </c>
      <c r="C523" s="2" t="s">
        <v>1967</v>
      </c>
      <c r="D523" s="2" t="s">
        <v>72</v>
      </c>
      <c r="E523" s="2" t="s">
        <v>8</v>
      </c>
      <c r="F523" s="33" t="s">
        <v>1213</v>
      </c>
      <c r="G523" s="33" t="s">
        <v>2697</v>
      </c>
      <c r="H523" s="33"/>
      <c r="I523" s="26" t="s">
        <v>8</v>
      </c>
      <c r="J523" s="26" t="s">
        <v>1213</v>
      </c>
      <c r="K523" s="26" t="s">
        <v>2697</v>
      </c>
      <c r="L523" s="26"/>
      <c r="M523" s="32" t="s">
        <v>2106</v>
      </c>
      <c r="N523" s="32" t="s">
        <v>1979</v>
      </c>
      <c r="O523" s="37"/>
      <c r="P523" s="35"/>
      <c r="Q523" s="35"/>
    </row>
    <row r="524">
      <c r="A524" s="8">
        <v>12.0</v>
      </c>
      <c r="B524" s="2">
        <v>44.0</v>
      </c>
      <c r="C524" s="2" t="s">
        <v>1973</v>
      </c>
      <c r="D524" s="2" t="s">
        <v>33</v>
      </c>
      <c r="E524" s="2" t="s">
        <v>19</v>
      </c>
      <c r="F524" s="33" t="s">
        <v>813</v>
      </c>
      <c r="G524" s="33" t="s">
        <v>2698</v>
      </c>
      <c r="H524" s="33"/>
      <c r="I524" s="26" t="s">
        <v>19</v>
      </c>
      <c r="J524" s="26" t="s">
        <v>813</v>
      </c>
      <c r="K524" s="26" t="s">
        <v>2698</v>
      </c>
      <c r="L524" s="26"/>
      <c r="M524" s="32"/>
      <c r="N524" s="32"/>
      <c r="O524" s="37"/>
      <c r="P524" s="35"/>
      <c r="Q524" s="35"/>
    </row>
    <row r="525">
      <c r="A525" s="8">
        <v>12.0</v>
      </c>
      <c r="B525" s="2">
        <v>48.0</v>
      </c>
      <c r="C525" s="2" t="s">
        <v>1973</v>
      </c>
      <c r="D525" s="2" t="s">
        <v>33</v>
      </c>
      <c r="E525" s="2" t="s">
        <v>19</v>
      </c>
      <c r="F525" s="33" t="s">
        <v>1836</v>
      </c>
      <c r="G525" s="33" t="s">
        <v>2699</v>
      </c>
      <c r="H525" s="33"/>
      <c r="I525" s="26" t="s">
        <v>19</v>
      </c>
      <c r="J525" s="26" t="s">
        <v>1836</v>
      </c>
      <c r="K525" s="26" t="s">
        <v>1837</v>
      </c>
      <c r="L525" s="26"/>
      <c r="M525" s="32" t="s">
        <v>1979</v>
      </c>
      <c r="N525" s="32" t="s">
        <v>1979</v>
      </c>
      <c r="O525" s="37"/>
      <c r="P525" s="35"/>
      <c r="Q525" s="35"/>
    </row>
    <row r="526">
      <c r="A526" s="8">
        <v>12.0</v>
      </c>
      <c r="B526" s="2">
        <v>49.0</v>
      </c>
      <c r="C526" s="2" t="s">
        <v>1973</v>
      </c>
      <c r="D526" s="2" t="s">
        <v>54</v>
      </c>
      <c r="E526" s="2" t="s">
        <v>8</v>
      </c>
      <c r="F526" s="33" t="s">
        <v>815</v>
      </c>
      <c r="G526" s="33" t="s">
        <v>2700</v>
      </c>
      <c r="H526" s="33"/>
      <c r="I526" s="26" t="s">
        <v>8</v>
      </c>
      <c r="J526" s="26" t="s">
        <v>815</v>
      </c>
      <c r="K526" s="26" t="s">
        <v>2700</v>
      </c>
      <c r="L526" s="26"/>
      <c r="M526" s="32" t="s">
        <v>1979</v>
      </c>
      <c r="N526" s="32" t="s">
        <v>1979</v>
      </c>
      <c r="O526" s="37"/>
      <c r="P526" s="35"/>
      <c r="Q526" s="35"/>
    </row>
    <row r="527">
      <c r="A527" s="8">
        <v>12.0</v>
      </c>
      <c r="B527" s="2">
        <v>50.0</v>
      </c>
      <c r="C527" s="2" t="s">
        <v>1973</v>
      </c>
      <c r="D527" s="2" t="s">
        <v>54</v>
      </c>
      <c r="E527" s="2" t="s">
        <v>19</v>
      </c>
      <c r="F527" s="33" t="s">
        <v>819</v>
      </c>
      <c r="G527" s="33" t="s">
        <v>2701</v>
      </c>
      <c r="H527" s="33"/>
      <c r="I527" s="26" t="s">
        <v>19</v>
      </c>
      <c r="J527" s="26" t="s">
        <v>819</v>
      </c>
      <c r="K527" s="26" t="s">
        <v>2702</v>
      </c>
      <c r="L527" s="26"/>
      <c r="M527" s="32" t="s">
        <v>1979</v>
      </c>
      <c r="N527" s="32" t="s">
        <v>1979</v>
      </c>
      <c r="O527" s="37"/>
      <c r="P527" s="35"/>
      <c r="Q527" s="35"/>
    </row>
    <row r="528">
      <c r="A528" s="8">
        <v>12.0</v>
      </c>
      <c r="B528" s="2">
        <v>50.0</v>
      </c>
      <c r="C528" s="2" t="s">
        <v>1973</v>
      </c>
      <c r="D528" s="2" t="s">
        <v>54</v>
      </c>
      <c r="E528" s="2" t="s">
        <v>19</v>
      </c>
      <c r="F528" s="33" t="s">
        <v>1840</v>
      </c>
      <c r="G528" s="33" t="s">
        <v>1841</v>
      </c>
      <c r="H528" s="33"/>
      <c r="I528" s="26" t="s">
        <v>19</v>
      </c>
      <c r="J528" s="26" t="s">
        <v>1840</v>
      </c>
      <c r="K528" s="26" t="s">
        <v>1841</v>
      </c>
      <c r="L528" s="26"/>
      <c r="M528" s="32" t="s">
        <v>1979</v>
      </c>
      <c r="N528" s="32" t="s">
        <v>1979</v>
      </c>
      <c r="O528" s="37"/>
      <c r="P528" s="35"/>
      <c r="Q528" s="35"/>
    </row>
    <row r="529">
      <c r="A529" s="8">
        <v>12.0</v>
      </c>
      <c r="B529" s="2">
        <v>51.0</v>
      </c>
      <c r="C529" s="2" t="s">
        <v>1967</v>
      </c>
      <c r="D529" s="2" t="s">
        <v>54</v>
      </c>
      <c r="E529" s="2" t="s">
        <v>19</v>
      </c>
      <c r="F529" s="33" t="s">
        <v>1215</v>
      </c>
      <c r="G529" s="33" t="s">
        <v>1216</v>
      </c>
      <c r="H529" s="33"/>
      <c r="I529" s="26" t="s">
        <v>19</v>
      </c>
      <c r="J529" s="26" t="s">
        <v>1215</v>
      </c>
      <c r="K529" s="26" t="s">
        <v>1216</v>
      </c>
      <c r="L529" s="26"/>
      <c r="M529" s="32" t="s">
        <v>2106</v>
      </c>
      <c r="N529" s="32" t="s">
        <v>2106</v>
      </c>
      <c r="O529" s="37"/>
      <c r="P529" s="35"/>
      <c r="Q529" s="35"/>
    </row>
    <row r="530">
      <c r="A530" s="22">
        <v>12.0</v>
      </c>
      <c r="B530" s="22">
        <v>52.0</v>
      </c>
      <c r="C530" s="2" t="s">
        <v>1971</v>
      </c>
      <c r="D530" s="2" t="s">
        <v>54</v>
      </c>
      <c r="E530" s="2" t="s">
        <v>19</v>
      </c>
      <c r="F530" s="33" t="s">
        <v>1217</v>
      </c>
      <c r="G530" s="33" t="s">
        <v>2703</v>
      </c>
      <c r="H530" s="33"/>
      <c r="I530" s="26"/>
      <c r="J530" s="26" t="s">
        <v>1217</v>
      </c>
      <c r="K530" s="26" t="s">
        <v>2703</v>
      </c>
      <c r="L530" s="26"/>
      <c r="M530" s="32" t="s">
        <v>1979</v>
      </c>
      <c r="N530" s="32" t="s">
        <v>1979</v>
      </c>
      <c r="O530" s="37"/>
      <c r="P530" s="35"/>
      <c r="Q530" s="35"/>
    </row>
    <row r="531">
      <c r="A531" s="8">
        <v>13.0</v>
      </c>
      <c r="B531" s="2">
        <v>1.0</v>
      </c>
      <c r="C531" s="2" t="s">
        <v>1967</v>
      </c>
      <c r="D531" s="2" t="s">
        <v>7</v>
      </c>
      <c r="E531" s="2" t="s">
        <v>19</v>
      </c>
      <c r="F531" s="33" t="s">
        <v>823</v>
      </c>
      <c r="G531" s="33" t="s">
        <v>2704</v>
      </c>
      <c r="H531" s="33"/>
      <c r="I531" s="26" t="s">
        <v>19</v>
      </c>
      <c r="J531" s="26" t="s">
        <v>823</v>
      </c>
      <c r="K531" s="26" t="s">
        <v>824</v>
      </c>
      <c r="L531" s="26"/>
      <c r="M531" s="32" t="s">
        <v>2106</v>
      </c>
      <c r="N531" s="32" t="s">
        <v>1979</v>
      </c>
      <c r="O531" s="37"/>
      <c r="P531" s="35"/>
      <c r="Q531" s="35"/>
    </row>
    <row r="532">
      <c r="A532" s="22">
        <v>13.0</v>
      </c>
      <c r="B532" s="22">
        <v>2.0</v>
      </c>
      <c r="C532" s="2" t="s">
        <v>1971</v>
      </c>
      <c r="D532" s="2" t="s">
        <v>7</v>
      </c>
      <c r="E532" s="2" t="s">
        <v>19</v>
      </c>
      <c r="F532" s="33" t="s">
        <v>1219</v>
      </c>
      <c r="G532" s="33" t="s">
        <v>2705</v>
      </c>
      <c r="H532" s="33"/>
      <c r="I532" s="26" t="s">
        <v>19</v>
      </c>
      <c r="J532" s="26" t="s">
        <v>1842</v>
      </c>
      <c r="K532" s="26" t="s">
        <v>2705</v>
      </c>
      <c r="L532" s="26"/>
      <c r="M532" s="32"/>
      <c r="N532" s="32"/>
      <c r="O532" s="37"/>
      <c r="P532" s="35"/>
      <c r="Q532" s="35"/>
    </row>
    <row r="533">
      <c r="A533" s="22">
        <v>13.0</v>
      </c>
      <c r="B533" s="22">
        <v>2.0</v>
      </c>
      <c r="C533" s="2" t="s">
        <v>1971</v>
      </c>
      <c r="D533" s="2" t="s">
        <v>7</v>
      </c>
      <c r="E533" s="2" t="s">
        <v>19</v>
      </c>
      <c r="F533" s="33" t="s">
        <v>1844</v>
      </c>
      <c r="G533" s="33" t="s">
        <v>1845</v>
      </c>
      <c r="H533" s="33"/>
      <c r="I533" s="26" t="s">
        <v>19</v>
      </c>
      <c r="J533" s="26" t="s">
        <v>1844</v>
      </c>
      <c r="K533" s="26" t="s">
        <v>1845</v>
      </c>
      <c r="L533" s="26"/>
      <c r="M533" s="32" t="s">
        <v>1979</v>
      </c>
      <c r="N533" s="32" t="s">
        <v>1979</v>
      </c>
      <c r="O533" s="37"/>
      <c r="P533" s="35"/>
      <c r="Q533" s="35"/>
    </row>
    <row r="534">
      <c r="A534" s="8">
        <v>13.0</v>
      </c>
      <c r="B534" s="2">
        <v>3.0</v>
      </c>
      <c r="C534" s="2" t="s">
        <v>1973</v>
      </c>
      <c r="D534" s="2" t="s">
        <v>7</v>
      </c>
      <c r="E534" s="2" t="s">
        <v>8</v>
      </c>
      <c r="F534" s="33" t="s">
        <v>2706</v>
      </c>
      <c r="G534" s="33" t="s">
        <v>2707</v>
      </c>
      <c r="H534" s="33"/>
      <c r="I534" s="26" t="s">
        <v>8</v>
      </c>
      <c r="J534" s="26" t="s">
        <v>2706</v>
      </c>
      <c r="K534" s="26" t="s">
        <v>2708</v>
      </c>
      <c r="L534" s="26"/>
      <c r="M534" s="32"/>
      <c r="N534" s="32"/>
      <c r="O534" s="37"/>
      <c r="P534" s="35"/>
      <c r="Q534" s="35"/>
    </row>
    <row r="535">
      <c r="A535" s="8">
        <v>13.0</v>
      </c>
      <c r="B535" s="2">
        <v>5.0</v>
      </c>
      <c r="C535" s="2" t="s">
        <v>1973</v>
      </c>
      <c r="D535" s="2" t="s">
        <v>7</v>
      </c>
      <c r="E535" s="2"/>
      <c r="F535" s="33"/>
      <c r="G535" s="33"/>
      <c r="H535" s="33"/>
      <c r="I535" s="26" t="s">
        <v>19</v>
      </c>
      <c r="J535" s="26" t="s">
        <v>1852</v>
      </c>
      <c r="K535" s="26" t="s">
        <v>2709</v>
      </c>
      <c r="L535" s="26"/>
      <c r="M535" s="32" t="s">
        <v>1979</v>
      </c>
      <c r="N535" s="32"/>
      <c r="O535" s="37" t="s">
        <v>1980</v>
      </c>
      <c r="P535" s="32"/>
      <c r="Q535" s="35"/>
    </row>
    <row r="536">
      <c r="A536" s="8">
        <v>13.0</v>
      </c>
      <c r="B536" s="2">
        <v>6.0</v>
      </c>
      <c r="C536" s="2" t="s">
        <v>1967</v>
      </c>
      <c r="D536" s="2" t="s">
        <v>7</v>
      </c>
      <c r="E536" s="2" t="s">
        <v>19</v>
      </c>
      <c r="F536" s="33" t="s">
        <v>1221</v>
      </c>
      <c r="G536" s="33" t="s">
        <v>2710</v>
      </c>
      <c r="H536" s="33"/>
      <c r="I536" s="26" t="s">
        <v>19</v>
      </c>
      <c r="J536" s="26" t="s">
        <v>1221</v>
      </c>
      <c r="K536" s="26" t="s">
        <v>2710</v>
      </c>
      <c r="L536" s="26"/>
      <c r="M536" s="32" t="s">
        <v>1979</v>
      </c>
      <c r="N536" s="32" t="s">
        <v>2106</v>
      </c>
      <c r="O536" s="37"/>
      <c r="P536" s="35"/>
      <c r="Q536" s="35"/>
    </row>
    <row r="537">
      <c r="A537" s="2">
        <v>13.0</v>
      </c>
      <c r="B537" s="2">
        <v>7.0</v>
      </c>
      <c r="C537" s="2" t="s">
        <v>1971</v>
      </c>
      <c r="D537" s="2" t="s">
        <v>59</v>
      </c>
      <c r="E537" s="2" t="s">
        <v>19</v>
      </c>
      <c r="F537" s="33" t="s">
        <v>1854</v>
      </c>
      <c r="G537" s="33" t="s">
        <v>2711</v>
      </c>
      <c r="H537" s="33"/>
      <c r="I537" s="26" t="s">
        <v>19</v>
      </c>
      <c r="J537" s="26" t="s">
        <v>1854</v>
      </c>
      <c r="K537" s="26" t="s">
        <v>2712</v>
      </c>
      <c r="L537" s="26"/>
      <c r="M537" s="32" t="s">
        <v>1979</v>
      </c>
      <c r="N537" s="32" t="s">
        <v>1979</v>
      </c>
      <c r="O537" s="32"/>
      <c r="P537" s="32"/>
      <c r="Q537" s="32"/>
    </row>
    <row r="538">
      <c r="A538" s="8">
        <v>13.0</v>
      </c>
      <c r="B538" s="2">
        <v>8.0</v>
      </c>
      <c r="C538" s="2" t="s">
        <v>1973</v>
      </c>
      <c r="D538" s="12" t="s">
        <v>59</v>
      </c>
      <c r="E538" s="2" t="s">
        <v>19</v>
      </c>
      <c r="F538" s="33" t="s">
        <v>829</v>
      </c>
      <c r="G538" s="33" t="s">
        <v>2713</v>
      </c>
      <c r="H538" s="33"/>
      <c r="I538" s="26" t="s">
        <v>19</v>
      </c>
      <c r="J538" s="26" t="s">
        <v>829</v>
      </c>
      <c r="K538" s="26" t="s">
        <v>2714</v>
      </c>
      <c r="L538" s="26"/>
      <c r="M538" s="32" t="s">
        <v>1979</v>
      </c>
      <c r="N538" s="32" t="s">
        <v>1979</v>
      </c>
      <c r="O538" s="37"/>
      <c r="P538" s="35"/>
      <c r="Q538" s="35"/>
    </row>
    <row r="539">
      <c r="A539" s="8">
        <v>13.0</v>
      </c>
      <c r="B539" s="2">
        <v>8.0</v>
      </c>
      <c r="C539" s="2" t="s">
        <v>1973</v>
      </c>
      <c r="D539" s="12" t="s">
        <v>59</v>
      </c>
      <c r="E539" s="2" t="s">
        <v>19</v>
      </c>
      <c r="F539" s="33" t="s">
        <v>831</v>
      </c>
      <c r="G539" s="33" t="s">
        <v>2715</v>
      </c>
      <c r="H539" s="33"/>
      <c r="I539" s="26" t="s">
        <v>19</v>
      </c>
      <c r="J539" s="26" t="s">
        <v>831</v>
      </c>
      <c r="K539" s="26" t="s">
        <v>2715</v>
      </c>
      <c r="L539" s="26"/>
      <c r="M539" s="32"/>
      <c r="N539" s="32"/>
      <c r="O539" s="37"/>
      <c r="P539" s="35"/>
      <c r="Q539" s="35"/>
    </row>
    <row r="540">
      <c r="A540" s="8">
        <v>13.0</v>
      </c>
      <c r="B540" s="2">
        <v>9.0</v>
      </c>
      <c r="C540" s="2" t="s">
        <v>1973</v>
      </c>
      <c r="D540" s="12" t="s">
        <v>59</v>
      </c>
      <c r="E540" s="2" t="s">
        <v>8</v>
      </c>
      <c r="F540" s="33" t="s">
        <v>1858</v>
      </c>
      <c r="G540" s="33" t="s">
        <v>1859</v>
      </c>
      <c r="H540" s="33"/>
      <c r="I540" s="26" t="s">
        <v>8</v>
      </c>
      <c r="J540" s="26" t="s">
        <v>1858</v>
      </c>
      <c r="K540" s="26" t="s">
        <v>1859</v>
      </c>
      <c r="L540" s="26"/>
      <c r="M540" s="32" t="s">
        <v>1979</v>
      </c>
      <c r="N540" s="32" t="s">
        <v>1979</v>
      </c>
      <c r="O540" s="37"/>
      <c r="P540" s="35"/>
      <c r="Q540" s="35"/>
    </row>
    <row r="541">
      <c r="A541" s="8">
        <v>13.0</v>
      </c>
      <c r="B541" s="2">
        <v>10.0</v>
      </c>
      <c r="C541" s="2" t="s">
        <v>1973</v>
      </c>
      <c r="D541" s="12" t="s">
        <v>59</v>
      </c>
      <c r="E541" s="2" t="s">
        <v>19</v>
      </c>
      <c r="F541" s="33" t="s">
        <v>833</v>
      </c>
      <c r="G541" s="33" t="s">
        <v>2716</v>
      </c>
      <c r="H541" s="33"/>
      <c r="I541" s="26" t="s">
        <v>19</v>
      </c>
      <c r="J541" s="26" t="s">
        <v>833</v>
      </c>
      <c r="K541" s="26" t="s">
        <v>2716</v>
      </c>
      <c r="L541" s="26"/>
      <c r="M541" s="32" t="s">
        <v>1979</v>
      </c>
      <c r="N541" s="32" t="s">
        <v>1979</v>
      </c>
      <c r="O541" s="37"/>
      <c r="P541" s="35"/>
      <c r="Q541" s="35"/>
    </row>
    <row r="542">
      <c r="A542" s="8">
        <v>13.0</v>
      </c>
      <c r="B542" s="2">
        <v>11.0</v>
      </c>
      <c r="C542" s="2" t="s">
        <v>1967</v>
      </c>
      <c r="D542" s="2" t="s">
        <v>40</v>
      </c>
      <c r="E542" s="2" t="s">
        <v>19</v>
      </c>
      <c r="F542" s="33" t="s">
        <v>1223</v>
      </c>
      <c r="G542" s="33" t="s">
        <v>2717</v>
      </c>
      <c r="H542" s="33"/>
      <c r="I542" s="26" t="s">
        <v>19</v>
      </c>
      <c r="J542" s="26" t="s">
        <v>1223</v>
      </c>
      <c r="K542" s="26" t="s">
        <v>2717</v>
      </c>
      <c r="L542" s="26"/>
      <c r="M542" s="32"/>
      <c r="N542" s="32"/>
      <c r="O542" s="37"/>
      <c r="P542" s="35"/>
      <c r="Q542" s="35"/>
    </row>
    <row r="543">
      <c r="A543" s="22">
        <v>13.0</v>
      </c>
      <c r="B543" s="22">
        <v>12.0</v>
      </c>
      <c r="C543" s="2" t="s">
        <v>1971</v>
      </c>
      <c r="D543" s="2" t="s">
        <v>28</v>
      </c>
      <c r="E543" s="2" t="s">
        <v>19</v>
      </c>
      <c r="F543" s="33" t="s">
        <v>1861</v>
      </c>
      <c r="G543" s="33" t="s">
        <v>2718</v>
      </c>
      <c r="H543" s="33"/>
      <c r="I543" s="26" t="s">
        <v>19</v>
      </c>
      <c r="J543" s="26" t="s">
        <v>1861</v>
      </c>
      <c r="K543" s="26" t="s">
        <v>2718</v>
      </c>
      <c r="L543" s="26"/>
      <c r="M543" s="32"/>
      <c r="N543" s="32"/>
      <c r="O543" s="37"/>
      <c r="P543" s="35"/>
      <c r="Q543" s="35"/>
    </row>
    <row r="544">
      <c r="A544" s="22">
        <v>13.0</v>
      </c>
      <c r="B544" s="22">
        <v>12.0</v>
      </c>
      <c r="C544" s="2" t="s">
        <v>1971</v>
      </c>
      <c r="D544" s="2" t="s">
        <v>28</v>
      </c>
      <c r="E544" s="2" t="s">
        <v>19</v>
      </c>
      <c r="F544" s="33" t="s">
        <v>2719</v>
      </c>
      <c r="G544" s="33" t="s">
        <v>2720</v>
      </c>
      <c r="H544" s="33"/>
      <c r="I544" s="26" t="s">
        <v>19</v>
      </c>
      <c r="J544" s="26" t="s">
        <v>2719</v>
      </c>
      <c r="K544" s="26" t="s">
        <v>2720</v>
      </c>
      <c r="L544" s="26"/>
      <c r="M544" s="32" t="s">
        <v>1979</v>
      </c>
      <c r="N544" s="32" t="s">
        <v>1979</v>
      </c>
      <c r="O544" s="37"/>
      <c r="P544" s="35"/>
      <c r="Q544" s="35"/>
    </row>
    <row r="545">
      <c r="A545" s="8">
        <v>13.0</v>
      </c>
      <c r="B545" s="2">
        <v>13.0</v>
      </c>
      <c r="C545" s="2" t="s">
        <v>1973</v>
      </c>
      <c r="D545" s="2" t="s">
        <v>28</v>
      </c>
      <c r="E545" s="2" t="s">
        <v>19</v>
      </c>
      <c r="F545" s="33" t="s">
        <v>837</v>
      </c>
      <c r="G545" s="33" t="s">
        <v>2721</v>
      </c>
      <c r="H545" s="33"/>
      <c r="I545" s="26" t="s">
        <v>19</v>
      </c>
      <c r="J545" s="26" t="s">
        <v>837</v>
      </c>
      <c r="K545" s="26" t="s">
        <v>2722</v>
      </c>
      <c r="L545" s="26"/>
      <c r="M545" s="32"/>
      <c r="N545" s="32"/>
      <c r="O545" s="37"/>
      <c r="P545" s="35"/>
      <c r="Q545" s="35"/>
    </row>
    <row r="546">
      <c r="A546" s="8">
        <v>13.0</v>
      </c>
      <c r="B546" s="2">
        <v>14.0</v>
      </c>
      <c r="C546" s="2" t="s">
        <v>1973</v>
      </c>
      <c r="D546" s="12" t="s">
        <v>47</v>
      </c>
      <c r="E546" s="2" t="s">
        <v>19</v>
      </c>
      <c r="F546" s="33" t="s">
        <v>1864</v>
      </c>
      <c r="G546" s="33" t="s">
        <v>2723</v>
      </c>
      <c r="H546" s="33"/>
      <c r="I546" s="26" t="s">
        <v>19</v>
      </c>
      <c r="J546" s="26" t="s">
        <v>1864</v>
      </c>
      <c r="K546" s="26" t="s">
        <v>2724</v>
      </c>
      <c r="L546" s="26"/>
      <c r="M546" s="32" t="s">
        <v>1979</v>
      </c>
      <c r="N546" s="32" t="s">
        <v>1979</v>
      </c>
      <c r="O546" s="37"/>
      <c r="P546" s="35"/>
      <c r="Q546" s="35"/>
    </row>
    <row r="547">
      <c r="A547" s="8">
        <v>13.0</v>
      </c>
      <c r="B547" s="2">
        <v>15.0</v>
      </c>
      <c r="C547" s="2" t="s">
        <v>1973</v>
      </c>
      <c r="D547" s="12" t="s">
        <v>47</v>
      </c>
      <c r="E547" s="2" t="s">
        <v>19</v>
      </c>
      <c r="F547" s="33" t="s">
        <v>839</v>
      </c>
      <c r="G547" s="33" t="s">
        <v>2725</v>
      </c>
      <c r="H547" s="33"/>
      <c r="I547" s="26" t="s">
        <v>19</v>
      </c>
      <c r="J547" s="26" t="s">
        <v>839</v>
      </c>
      <c r="K547" s="26" t="s">
        <v>2725</v>
      </c>
      <c r="L547" s="26"/>
      <c r="M547" s="32"/>
      <c r="N547" s="32"/>
      <c r="O547" s="37"/>
      <c r="P547" s="35"/>
      <c r="Q547" s="35"/>
    </row>
    <row r="548">
      <c r="A548" s="8">
        <v>13.0</v>
      </c>
      <c r="B548" s="2">
        <v>15.0</v>
      </c>
      <c r="C548" s="2" t="s">
        <v>1973</v>
      </c>
      <c r="D548" s="12" t="s">
        <v>47</v>
      </c>
      <c r="E548" s="2" t="s">
        <v>19</v>
      </c>
      <c r="F548" s="33" t="s">
        <v>1866</v>
      </c>
      <c r="G548" s="33" t="s">
        <v>2726</v>
      </c>
      <c r="H548" s="33"/>
      <c r="I548" s="26" t="s">
        <v>19</v>
      </c>
      <c r="J548" s="26" t="s">
        <v>1866</v>
      </c>
      <c r="K548" s="26" t="s">
        <v>2726</v>
      </c>
      <c r="L548" s="26"/>
      <c r="M548" s="32" t="s">
        <v>1979</v>
      </c>
      <c r="N548" s="32" t="s">
        <v>1979</v>
      </c>
      <c r="O548" s="37"/>
      <c r="P548" s="35"/>
      <c r="Q548" s="35"/>
    </row>
    <row r="549">
      <c r="A549" s="8">
        <v>13.0</v>
      </c>
      <c r="B549" s="2">
        <v>16.0</v>
      </c>
      <c r="C549" s="2" t="s">
        <v>1967</v>
      </c>
      <c r="D549" s="2" t="s">
        <v>72</v>
      </c>
      <c r="E549" s="2" t="s">
        <v>19</v>
      </c>
      <c r="F549" s="33" t="s">
        <v>1227</v>
      </c>
      <c r="G549" s="33" t="s">
        <v>2727</v>
      </c>
      <c r="H549" s="33"/>
      <c r="I549" s="26" t="s">
        <v>19</v>
      </c>
      <c r="J549" s="26" t="s">
        <v>1227</v>
      </c>
      <c r="K549" s="26" t="s">
        <v>2727</v>
      </c>
      <c r="L549" s="26"/>
      <c r="M549" s="32" t="s">
        <v>1979</v>
      </c>
      <c r="N549" s="32" t="s">
        <v>1979</v>
      </c>
      <c r="O549" s="37"/>
      <c r="P549" s="35"/>
      <c r="Q549" s="35"/>
    </row>
    <row r="550">
      <c r="A550" s="22">
        <v>13.0</v>
      </c>
      <c r="B550" s="22">
        <v>17.0</v>
      </c>
      <c r="C550" s="2" t="s">
        <v>1971</v>
      </c>
      <c r="D550" s="2" t="s">
        <v>72</v>
      </c>
      <c r="E550" s="2" t="s">
        <v>8</v>
      </c>
      <c r="F550" s="33" t="s">
        <v>1870</v>
      </c>
      <c r="G550" s="33" t="s">
        <v>2728</v>
      </c>
      <c r="H550" s="33"/>
      <c r="I550" s="26" t="s">
        <v>8</v>
      </c>
      <c r="J550" s="26" t="s">
        <v>1870</v>
      </c>
      <c r="K550" s="26" t="s">
        <v>2728</v>
      </c>
      <c r="L550" s="26"/>
      <c r="M550" s="32"/>
      <c r="N550" s="32"/>
      <c r="O550" s="37"/>
      <c r="P550" s="35"/>
      <c r="Q550" s="35"/>
    </row>
    <row r="551">
      <c r="A551" s="22">
        <v>13.0</v>
      </c>
      <c r="B551" s="22">
        <v>17.0</v>
      </c>
      <c r="C551" s="2" t="s">
        <v>1971</v>
      </c>
      <c r="D551" s="2" t="s">
        <v>72</v>
      </c>
      <c r="E551" s="2" t="s">
        <v>19</v>
      </c>
      <c r="F551" s="33" t="s">
        <v>1872</v>
      </c>
      <c r="G551" s="33" t="s">
        <v>2729</v>
      </c>
      <c r="H551" s="33"/>
      <c r="I551" s="26" t="s">
        <v>19</v>
      </c>
      <c r="J551" s="26" t="s">
        <v>1872</v>
      </c>
      <c r="K551" s="26" t="s">
        <v>2729</v>
      </c>
      <c r="L551" s="26"/>
      <c r="M551" s="32"/>
      <c r="N551" s="32"/>
      <c r="O551" s="37"/>
      <c r="P551" s="35"/>
      <c r="Q551" s="35"/>
    </row>
    <row r="552">
      <c r="A552" s="8">
        <v>13.0</v>
      </c>
      <c r="B552" s="2">
        <v>18.0</v>
      </c>
      <c r="C552" s="2" t="s">
        <v>1973</v>
      </c>
      <c r="D552" s="2" t="s">
        <v>33</v>
      </c>
      <c r="E552" s="2" t="s">
        <v>8</v>
      </c>
      <c r="F552" s="33" t="s">
        <v>1874</v>
      </c>
      <c r="G552" s="33" t="s">
        <v>1875</v>
      </c>
      <c r="H552" s="33"/>
      <c r="I552" s="26" t="s">
        <v>8</v>
      </c>
      <c r="J552" s="26" t="s">
        <v>1874</v>
      </c>
      <c r="K552" s="26" t="s">
        <v>1875</v>
      </c>
      <c r="L552" s="26"/>
      <c r="M552" s="32" t="s">
        <v>1979</v>
      </c>
      <c r="N552" s="32" t="s">
        <v>1979</v>
      </c>
      <c r="O552" s="37"/>
      <c r="P552" s="35"/>
      <c r="Q552" s="35"/>
    </row>
    <row r="553">
      <c r="A553" s="8">
        <v>13.0</v>
      </c>
      <c r="B553" s="2">
        <v>19.0</v>
      </c>
      <c r="C553" s="2" t="s">
        <v>1973</v>
      </c>
      <c r="D553" s="2" t="s">
        <v>33</v>
      </c>
      <c r="E553" s="2" t="s">
        <v>19</v>
      </c>
      <c r="F553" s="33" t="s">
        <v>2730</v>
      </c>
      <c r="G553" s="33" t="s">
        <v>2731</v>
      </c>
      <c r="H553" s="33"/>
      <c r="I553" s="26" t="s">
        <v>19</v>
      </c>
      <c r="J553" s="26" t="s">
        <v>2730</v>
      </c>
      <c r="K553" s="26" t="s">
        <v>2731</v>
      </c>
      <c r="L553" s="26"/>
      <c r="M553" s="32"/>
      <c r="N553" s="32"/>
      <c r="O553" s="37"/>
      <c r="P553" s="35"/>
      <c r="Q553" s="35"/>
    </row>
    <row r="554">
      <c r="A554" s="8">
        <v>13.0</v>
      </c>
      <c r="B554" s="2">
        <v>20.0</v>
      </c>
      <c r="C554" s="2" t="s">
        <v>1973</v>
      </c>
      <c r="D554" s="2" t="s">
        <v>54</v>
      </c>
      <c r="E554" s="2"/>
      <c r="F554" s="33"/>
      <c r="G554" s="33"/>
      <c r="H554" s="33"/>
      <c r="I554" s="26" t="s">
        <v>19</v>
      </c>
      <c r="J554" s="26" t="s">
        <v>1878</v>
      </c>
      <c r="K554" s="26" t="s">
        <v>1879</v>
      </c>
      <c r="L554" s="26"/>
      <c r="M554" s="32" t="s">
        <v>1979</v>
      </c>
      <c r="N554" s="32"/>
      <c r="O554" s="37" t="s">
        <v>1980</v>
      </c>
      <c r="P554" s="35"/>
      <c r="Q554" s="35"/>
    </row>
    <row r="555">
      <c r="A555" s="8">
        <v>13.0</v>
      </c>
      <c r="B555" s="2">
        <v>21.0</v>
      </c>
      <c r="C555" s="2" t="s">
        <v>1967</v>
      </c>
      <c r="D555" s="2" t="s">
        <v>176</v>
      </c>
      <c r="E555" s="2" t="s">
        <v>19</v>
      </c>
      <c r="F555" s="33" t="s">
        <v>845</v>
      </c>
      <c r="G555" s="33" t="s">
        <v>2732</v>
      </c>
      <c r="H555" s="33"/>
      <c r="I555" s="26" t="s">
        <v>19</v>
      </c>
      <c r="J555" s="26" t="s">
        <v>845</v>
      </c>
      <c r="K555" s="26" t="s">
        <v>2733</v>
      </c>
      <c r="L555" s="26"/>
      <c r="M555" s="32" t="s">
        <v>1979</v>
      </c>
      <c r="N555" s="32" t="s">
        <v>1979</v>
      </c>
      <c r="O555" s="37"/>
      <c r="P555" s="35"/>
      <c r="Q555" s="35"/>
    </row>
    <row r="556">
      <c r="A556" s="8">
        <v>13.0</v>
      </c>
      <c r="B556" s="2">
        <v>21.0</v>
      </c>
      <c r="C556" s="2" t="s">
        <v>1967</v>
      </c>
      <c r="D556" s="2" t="s">
        <v>176</v>
      </c>
      <c r="E556" s="2" t="s">
        <v>19</v>
      </c>
      <c r="F556" s="33" t="s">
        <v>1231</v>
      </c>
      <c r="G556" s="33" t="s">
        <v>2734</v>
      </c>
      <c r="H556" s="33"/>
      <c r="I556" s="26" t="s">
        <v>19</v>
      </c>
      <c r="J556" s="26" t="s">
        <v>1231</v>
      </c>
      <c r="K556" s="26" t="s">
        <v>2734</v>
      </c>
      <c r="L556" s="26"/>
      <c r="M556" s="32" t="s">
        <v>1979</v>
      </c>
      <c r="N556" s="32" t="s">
        <v>1979</v>
      </c>
      <c r="O556" s="37"/>
      <c r="P556" s="35"/>
      <c r="Q556" s="35"/>
    </row>
    <row r="557">
      <c r="A557" s="22">
        <v>13.0</v>
      </c>
      <c r="B557" s="22">
        <v>22.0</v>
      </c>
      <c r="C557" s="2" t="s">
        <v>1971</v>
      </c>
      <c r="D557" s="2" t="s">
        <v>176</v>
      </c>
      <c r="E557" s="2" t="s">
        <v>19</v>
      </c>
      <c r="F557" s="33" t="s">
        <v>1880</v>
      </c>
      <c r="G557" s="33" t="s">
        <v>2735</v>
      </c>
      <c r="H557" s="33"/>
      <c r="I557" s="26" t="s">
        <v>19</v>
      </c>
      <c r="J557" s="26" t="s">
        <v>1880</v>
      </c>
      <c r="K557" s="26" t="s">
        <v>2735</v>
      </c>
      <c r="L557" s="26"/>
      <c r="M557" s="32" t="s">
        <v>1979</v>
      </c>
      <c r="N557" s="32" t="s">
        <v>1979</v>
      </c>
      <c r="O557" s="37"/>
      <c r="P557" s="35"/>
      <c r="Q557" s="35"/>
    </row>
    <row r="558">
      <c r="A558" s="8">
        <v>13.0</v>
      </c>
      <c r="B558" s="2">
        <v>23.0</v>
      </c>
      <c r="C558" s="2" t="s">
        <v>1973</v>
      </c>
      <c r="D558" s="2" t="s">
        <v>176</v>
      </c>
      <c r="E558" s="2" t="s">
        <v>19</v>
      </c>
      <c r="F558" s="33" t="s">
        <v>1882</v>
      </c>
      <c r="G558" s="33" t="s">
        <v>1883</v>
      </c>
      <c r="H558" s="33"/>
      <c r="I558" s="26" t="s">
        <v>19</v>
      </c>
      <c r="J558" s="26" t="s">
        <v>1882</v>
      </c>
      <c r="K558" s="26" t="s">
        <v>1883</v>
      </c>
      <c r="L558" s="26"/>
      <c r="M558" s="32" t="s">
        <v>2106</v>
      </c>
      <c r="N558" s="32" t="s">
        <v>2106</v>
      </c>
      <c r="O558" s="37"/>
      <c r="P558" s="35"/>
      <c r="Q558" s="35"/>
    </row>
    <row r="559">
      <c r="A559" s="8">
        <v>13.0</v>
      </c>
      <c r="B559" s="2">
        <v>24.0</v>
      </c>
      <c r="C559" s="2" t="s">
        <v>1973</v>
      </c>
      <c r="D559" s="2" t="s">
        <v>176</v>
      </c>
      <c r="E559" s="2" t="s">
        <v>19</v>
      </c>
      <c r="F559" s="33" t="s">
        <v>2736</v>
      </c>
      <c r="G559" s="33" t="s">
        <v>2737</v>
      </c>
      <c r="H559" s="33"/>
      <c r="I559" s="26" t="s">
        <v>19</v>
      </c>
      <c r="J559" s="26" t="s">
        <v>2736</v>
      </c>
      <c r="K559" s="26" t="s">
        <v>2737</v>
      </c>
      <c r="L559" s="26"/>
      <c r="M559" s="32" t="s">
        <v>2106</v>
      </c>
      <c r="N559" s="32" t="s">
        <v>2106</v>
      </c>
      <c r="O559" s="37"/>
      <c r="P559" s="35"/>
      <c r="Q559" s="35"/>
    </row>
    <row r="560">
      <c r="A560" s="8">
        <v>13.0</v>
      </c>
      <c r="B560" s="2">
        <v>24.0</v>
      </c>
      <c r="C560" s="2" t="s">
        <v>1973</v>
      </c>
      <c r="D560" s="2" t="s">
        <v>176</v>
      </c>
      <c r="E560" s="2" t="s">
        <v>19</v>
      </c>
      <c r="F560" s="33" t="s">
        <v>2738</v>
      </c>
      <c r="G560" s="33" t="s">
        <v>2739</v>
      </c>
      <c r="H560" s="33"/>
      <c r="I560" s="26" t="s">
        <v>19</v>
      </c>
      <c r="J560" s="26" t="s">
        <v>2738</v>
      </c>
      <c r="K560" s="26" t="s">
        <v>1885</v>
      </c>
      <c r="L560" s="26"/>
      <c r="M560" s="32" t="s">
        <v>2106</v>
      </c>
      <c r="N560" s="32" t="s">
        <v>2106</v>
      </c>
      <c r="O560" s="37"/>
      <c r="P560" s="35"/>
      <c r="Q560" s="35"/>
    </row>
    <row r="561">
      <c r="A561" s="8">
        <v>13.0</v>
      </c>
      <c r="B561" s="2">
        <v>25.0</v>
      </c>
      <c r="C561" s="2" t="s">
        <v>1973</v>
      </c>
      <c r="D561" s="2" t="s">
        <v>176</v>
      </c>
      <c r="E561" s="2" t="s">
        <v>8</v>
      </c>
      <c r="F561" s="33" t="s">
        <v>2740</v>
      </c>
      <c r="G561" s="33" t="s">
        <v>2741</v>
      </c>
      <c r="H561" s="33"/>
      <c r="I561" s="26" t="s">
        <v>8</v>
      </c>
      <c r="J561" s="26" t="s">
        <v>2740</v>
      </c>
      <c r="K561" s="26" t="s">
        <v>2741</v>
      </c>
      <c r="L561" s="26"/>
      <c r="M561" s="32" t="s">
        <v>1979</v>
      </c>
      <c r="N561" s="32" t="s">
        <v>1979</v>
      </c>
      <c r="O561" s="37"/>
      <c r="P561" s="35"/>
      <c r="Q561" s="35"/>
    </row>
    <row r="562">
      <c r="A562" s="8">
        <v>14.0</v>
      </c>
      <c r="B562" s="2">
        <v>1.0</v>
      </c>
      <c r="C562" s="2" t="s">
        <v>1967</v>
      </c>
      <c r="D562" s="2" t="s">
        <v>7</v>
      </c>
      <c r="E562" s="2" t="s">
        <v>8</v>
      </c>
      <c r="F562" s="33" t="s">
        <v>1233</v>
      </c>
      <c r="G562" s="33" t="s">
        <v>1234</v>
      </c>
      <c r="H562" s="33"/>
      <c r="I562" s="26" t="s">
        <v>8</v>
      </c>
      <c r="J562" s="26" t="s">
        <v>1233</v>
      </c>
      <c r="K562" s="26" t="s">
        <v>1234</v>
      </c>
      <c r="L562" s="26"/>
      <c r="M562" s="32"/>
      <c r="N562" s="32"/>
      <c r="O562" s="37"/>
      <c r="P562" s="35"/>
      <c r="Q562" s="35"/>
    </row>
    <row r="563">
      <c r="A563" s="22">
        <v>14.0</v>
      </c>
      <c r="B563" s="22">
        <v>2.0</v>
      </c>
      <c r="C563" s="2" t="s">
        <v>1971</v>
      </c>
      <c r="D563" s="2" t="s">
        <v>7</v>
      </c>
      <c r="E563" s="2" t="s">
        <v>19</v>
      </c>
      <c r="F563" s="33" t="s">
        <v>1888</v>
      </c>
      <c r="G563" s="33" t="s">
        <v>1889</v>
      </c>
      <c r="H563" s="33"/>
      <c r="I563" s="26" t="s">
        <v>19</v>
      </c>
      <c r="J563" s="26" t="s">
        <v>1888</v>
      </c>
      <c r="K563" s="26" t="s">
        <v>1889</v>
      </c>
      <c r="L563" s="26"/>
      <c r="M563" s="32" t="s">
        <v>1979</v>
      </c>
      <c r="N563" s="32" t="s">
        <v>1979</v>
      </c>
      <c r="O563" s="37"/>
      <c r="P563" s="35"/>
      <c r="Q563" s="35"/>
    </row>
    <row r="564">
      <c r="A564" s="22">
        <v>14.0</v>
      </c>
      <c r="B564" s="22">
        <v>2.0</v>
      </c>
      <c r="C564" s="2" t="s">
        <v>1971</v>
      </c>
      <c r="D564" s="2" t="s">
        <v>7</v>
      </c>
      <c r="E564" s="2" t="s">
        <v>8</v>
      </c>
      <c r="F564" s="33" t="s">
        <v>1237</v>
      </c>
      <c r="G564" s="33" t="s">
        <v>2742</v>
      </c>
      <c r="H564" s="33"/>
      <c r="I564" s="26" t="s">
        <v>8</v>
      </c>
      <c r="J564" s="26" t="s">
        <v>1237</v>
      </c>
      <c r="K564" s="26" t="s">
        <v>2742</v>
      </c>
      <c r="L564" s="26"/>
      <c r="M564" s="32" t="s">
        <v>1979</v>
      </c>
      <c r="N564" s="32" t="s">
        <v>1979</v>
      </c>
      <c r="O564" s="37"/>
      <c r="P564" s="35"/>
      <c r="Q564" s="35"/>
    </row>
    <row r="565">
      <c r="A565" s="8">
        <v>14.0</v>
      </c>
      <c r="B565" s="2">
        <v>3.0</v>
      </c>
      <c r="C565" s="2" t="s">
        <v>1973</v>
      </c>
      <c r="D565" s="2" t="s">
        <v>7</v>
      </c>
      <c r="E565" s="2" t="s">
        <v>19</v>
      </c>
      <c r="F565" s="33" t="s">
        <v>849</v>
      </c>
      <c r="G565" s="33" t="s">
        <v>2743</v>
      </c>
      <c r="H565" s="33"/>
      <c r="I565" s="26" t="s">
        <v>19</v>
      </c>
      <c r="J565" s="26" t="s">
        <v>849</v>
      </c>
      <c r="K565" s="26" t="s">
        <v>2743</v>
      </c>
      <c r="L565" s="26"/>
      <c r="M565" s="32"/>
      <c r="N565" s="32"/>
      <c r="O565" s="37"/>
      <c r="P565" s="35"/>
      <c r="Q565" s="35"/>
    </row>
    <row r="566">
      <c r="A566" s="8">
        <v>14.0</v>
      </c>
      <c r="B566" s="2">
        <v>4.0</v>
      </c>
      <c r="C566" s="2" t="s">
        <v>1973</v>
      </c>
      <c r="D566" s="2" t="s">
        <v>7</v>
      </c>
      <c r="E566" s="2" t="s">
        <v>19</v>
      </c>
      <c r="F566" s="33" t="s">
        <v>851</v>
      </c>
      <c r="G566" s="33" t="s">
        <v>2744</v>
      </c>
      <c r="H566" s="33"/>
      <c r="I566" s="26" t="s">
        <v>19</v>
      </c>
      <c r="J566" s="26" t="s">
        <v>851</v>
      </c>
      <c r="K566" s="26" t="s">
        <v>2745</v>
      </c>
      <c r="L566" s="26"/>
      <c r="M566" s="32"/>
      <c r="N566" s="32"/>
      <c r="O566" s="37"/>
      <c r="P566" s="35"/>
      <c r="Q566" s="35"/>
    </row>
    <row r="567">
      <c r="A567" s="8">
        <v>14.0</v>
      </c>
      <c r="B567" s="2">
        <v>4.0</v>
      </c>
      <c r="C567" s="2" t="s">
        <v>1973</v>
      </c>
      <c r="D567" s="2" t="s">
        <v>7</v>
      </c>
      <c r="E567" s="2" t="s">
        <v>8</v>
      </c>
      <c r="F567" s="33" t="s">
        <v>1897</v>
      </c>
      <c r="G567" s="33" t="s">
        <v>2746</v>
      </c>
      <c r="H567" s="33"/>
      <c r="I567" s="26" t="s">
        <v>8</v>
      </c>
      <c r="J567" s="26" t="s">
        <v>1897</v>
      </c>
      <c r="K567" s="26" t="s">
        <v>2746</v>
      </c>
      <c r="L567" s="26"/>
      <c r="M567" s="32"/>
      <c r="N567" s="32"/>
      <c r="O567" s="37"/>
      <c r="P567" s="35"/>
      <c r="Q567" s="35"/>
    </row>
    <row r="568">
      <c r="A568" s="8">
        <v>14.0</v>
      </c>
      <c r="B568" s="2">
        <v>4.0</v>
      </c>
      <c r="C568" s="2" t="s">
        <v>1973</v>
      </c>
      <c r="D568" s="2" t="s">
        <v>7</v>
      </c>
      <c r="E568" s="2" t="s">
        <v>8</v>
      </c>
      <c r="F568" s="33" t="s">
        <v>1894</v>
      </c>
      <c r="G568" s="33" t="s">
        <v>2747</v>
      </c>
      <c r="H568" s="33"/>
      <c r="I568" s="26" t="s">
        <v>8</v>
      </c>
      <c r="J568" s="26" t="s">
        <v>1894</v>
      </c>
      <c r="K568" s="26" t="s">
        <v>2747</v>
      </c>
      <c r="L568" s="26"/>
      <c r="M568" s="32" t="s">
        <v>1979</v>
      </c>
      <c r="N568" s="32" t="s">
        <v>1979</v>
      </c>
      <c r="O568" s="37"/>
      <c r="P568" s="35"/>
      <c r="Q568" s="35"/>
    </row>
    <row r="569">
      <c r="A569" s="8">
        <v>14.0</v>
      </c>
      <c r="B569" s="2">
        <v>5.0</v>
      </c>
      <c r="C569" s="2" t="s">
        <v>1973</v>
      </c>
      <c r="D569" s="2" t="s">
        <v>7</v>
      </c>
      <c r="E569" s="2" t="s">
        <v>8</v>
      </c>
      <c r="F569" s="33" t="s">
        <v>855</v>
      </c>
      <c r="G569" s="33" t="s">
        <v>2748</v>
      </c>
      <c r="H569" s="33"/>
      <c r="I569" s="26" t="s">
        <v>8</v>
      </c>
      <c r="J569" s="26" t="s">
        <v>855</v>
      </c>
      <c r="K569" s="26" t="s">
        <v>2749</v>
      </c>
      <c r="L569" s="26"/>
      <c r="M569" s="32"/>
      <c r="N569" s="32"/>
      <c r="O569" s="37"/>
      <c r="P569" s="35"/>
      <c r="Q569" s="35"/>
    </row>
    <row r="570">
      <c r="A570" s="8">
        <v>14.0</v>
      </c>
      <c r="B570" s="2">
        <v>5.0</v>
      </c>
      <c r="C570" s="2" t="s">
        <v>1973</v>
      </c>
      <c r="D570" s="2" t="s">
        <v>7</v>
      </c>
      <c r="E570" s="2" t="s">
        <v>8</v>
      </c>
      <c r="F570" s="33" t="s">
        <v>857</v>
      </c>
      <c r="G570" s="33" t="s">
        <v>2750</v>
      </c>
      <c r="H570" s="33"/>
      <c r="I570" s="26" t="s">
        <v>8</v>
      </c>
      <c r="J570" s="26" t="s">
        <v>857</v>
      </c>
      <c r="K570" s="26" t="s">
        <v>2751</v>
      </c>
      <c r="L570" s="26"/>
      <c r="M570" s="32" t="s">
        <v>1979</v>
      </c>
      <c r="N570" s="32" t="s">
        <v>1979</v>
      </c>
      <c r="O570" s="37"/>
      <c r="P570" s="35"/>
      <c r="Q570" s="35"/>
    </row>
    <row r="571">
      <c r="A571" s="8">
        <v>14.0</v>
      </c>
      <c r="B571" s="2">
        <v>5.0</v>
      </c>
      <c r="C571" s="2" t="s">
        <v>1973</v>
      </c>
      <c r="D571" s="2" t="s">
        <v>7</v>
      </c>
      <c r="E571" s="2" t="s">
        <v>8</v>
      </c>
      <c r="F571" s="33" t="s">
        <v>1901</v>
      </c>
      <c r="G571" s="33" t="s">
        <v>1902</v>
      </c>
      <c r="H571" s="33"/>
      <c r="I571" s="26" t="s">
        <v>8</v>
      </c>
      <c r="J571" s="26" t="s">
        <v>1901</v>
      </c>
      <c r="K571" s="26" t="s">
        <v>1902</v>
      </c>
      <c r="L571" s="26"/>
      <c r="M571" s="32" t="s">
        <v>1979</v>
      </c>
      <c r="N571" s="32" t="s">
        <v>1979</v>
      </c>
      <c r="O571" s="37"/>
      <c r="P571" s="35"/>
      <c r="Q571" s="35"/>
    </row>
    <row r="572">
      <c r="A572" s="22">
        <v>14.0</v>
      </c>
      <c r="B572" s="22">
        <v>7.0</v>
      </c>
      <c r="C572" s="2" t="s">
        <v>1971</v>
      </c>
      <c r="D572" s="2" t="s">
        <v>7</v>
      </c>
      <c r="E572" s="2" t="s">
        <v>19</v>
      </c>
      <c r="F572" s="33" t="s">
        <v>1903</v>
      </c>
      <c r="G572" s="33" t="s">
        <v>1904</v>
      </c>
      <c r="H572" s="33"/>
      <c r="I572" s="26" t="s">
        <v>19</v>
      </c>
      <c r="J572" s="26" t="s">
        <v>1903</v>
      </c>
      <c r="K572" s="26" t="s">
        <v>1904</v>
      </c>
      <c r="L572" s="26"/>
      <c r="M572" s="32" t="s">
        <v>1979</v>
      </c>
      <c r="N572" s="32" t="s">
        <v>1979</v>
      </c>
      <c r="O572" s="37"/>
      <c r="P572" s="35"/>
      <c r="Q572" s="35"/>
    </row>
    <row r="573">
      <c r="A573" s="8">
        <v>14.0</v>
      </c>
      <c r="B573" s="2">
        <v>8.0</v>
      </c>
      <c r="C573" s="2" t="s">
        <v>1973</v>
      </c>
      <c r="D573" s="2" t="s">
        <v>7</v>
      </c>
      <c r="E573" s="2" t="s">
        <v>19</v>
      </c>
      <c r="F573" s="33" t="s">
        <v>1909</v>
      </c>
      <c r="G573" s="33" t="s">
        <v>1910</v>
      </c>
      <c r="H573" s="33"/>
      <c r="I573" s="26" t="s">
        <v>19</v>
      </c>
      <c r="J573" s="26" t="s">
        <v>1909</v>
      </c>
      <c r="K573" s="26" t="s">
        <v>1910</v>
      </c>
      <c r="L573" s="26"/>
      <c r="M573" s="32" t="s">
        <v>1979</v>
      </c>
      <c r="N573" s="32" t="s">
        <v>1979</v>
      </c>
      <c r="O573" s="37"/>
      <c r="P573" s="35"/>
      <c r="Q573" s="35"/>
    </row>
    <row r="574">
      <c r="A574" s="8">
        <v>14.0</v>
      </c>
      <c r="B574" s="2">
        <v>8.0</v>
      </c>
      <c r="C574" s="2" t="s">
        <v>1973</v>
      </c>
      <c r="D574" s="2" t="s">
        <v>7</v>
      </c>
      <c r="E574" s="2" t="s">
        <v>19</v>
      </c>
      <c r="F574" s="33" t="s">
        <v>1905</v>
      </c>
      <c r="G574" s="33" t="s">
        <v>2752</v>
      </c>
      <c r="H574" s="33"/>
      <c r="I574" s="26" t="s">
        <v>19</v>
      </c>
      <c r="J574" s="26" t="s">
        <v>1905</v>
      </c>
      <c r="K574" s="26" t="s">
        <v>2752</v>
      </c>
      <c r="L574" s="26"/>
      <c r="M574" s="32" t="s">
        <v>1979</v>
      </c>
      <c r="N574" s="32" t="s">
        <v>1979</v>
      </c>
      <c r="O574" s="37"/>
      <c r="P574" s="35"/>
      <c r="Q574" s="35"/>
    </row>
    <row r="575">
      <c r="A575" s="8">
        <v>14.0</v>
      </c>
      <c r="B575" s="2">
        <v>8.0</v>
      </c>
      <c r="C575" s="2" t="s">
        <v>1973</v>
      </c>
      <c r="D575" s="2" t="s">
        <v>7</v>
      </c>
      <c r="E575" s="2" t="s">
        <v>8</v>
      </c>
      <c r="F575" s="33" t="s">
        <v>1907</v>
      </c>
      <c r="G575" s="33" t="s">
        <v>2753</v>
      </c>
      <c r="H575" s="33"/>
      <c r="I575" s="26" t="s">
        <v>8</v>
      </c>
      <c r="J575" s="26" t="s">
        <v>1907</v>
      </c>
      <c r="K575" s="26" t="s">
        <v>2753</v>
      </c>
      <c r="L575" s="26"/>
      <c r="M575" s="32" t="s">
        <v>1979</v>
      </c>
      <c r="N575" s="32" t="s">
        <v>1979</v>
      </c>
      <c r="O575" s="37"/>
      <c r="P575" s="35"/>
      <c r="Q575" s="35"/>
    </row>
    <row r="576">
      <c r="A576" s="8">
        <v>14.0</v>
      </c>
      <c r="B576" s="2">
        <v>9.0</v>
      </c>
      <c r="C576" s="2" t="s">
        <v>1973</v>
      </c>
      <c r="D576" s="12" t="s">
        <v>59</v>
      </c>
      <c r="E576" s="2" t="s">
        <v>8</v>
      </c>
      <c r="F576" s="33" t="s">
        <v>2754</v>
      </c>
      <c r="G576" s="33" t="s">
        <v>1914</v>
      </c>
      <c r="H576" s="33"/>
      <c r="I576" s="26" t="s">
        <v>8</v>
      </c>
      <c r="J576" s="26" t="s">
        <v>2754</v>
      </c>
      <c r="K576" s="26" t="s">
        <v>1914</v>
      </c>
      <c r="L576" s="26"/>
      <c r="M576" s="32"/>
      <c r="N576" s="32"/>
      <c r="O576" s="37"/>
      <c r="P576" s="35"/>
      <c r="Q576" s="35"/>
    </row>
    <row r="577">
      <c r="A577" s="8">
        <v>14.0</v>
      </c>
      <c r="B577" s="2">
        <v>9.0</v>
      </c>
      <c r="C577" s="2" t="s">
        <v>1973</v>
      </c>
      <c r="D577" s="12" t="s">
        <v>59</v>
      </c>
      <c r="E577" s="2" t="s">
        <v>8</v>
      </c>
      <c r="F577" s="33" t="s">
        <v>1911</v>
      </c>
      <c r="G577" s="33" t="s">
        <v>2755</v>
      </c>
      <c r="H577" s="33"/>
      <c r="I577" s="26" t="s">
        <v>8</v>
      </c>
      <c r="J577" s="26" t="s">
        <v>1911</v>
      </c>
      <c r="K577" s="26" t="s">
        <v>2755</v>
      </c>
      <c r="L577" s="26"/>
      <c r="M577" s="32" t="s">
        <v>1979</v>
      </c>
      <c r="N577" s="32" t="s">
        <v>1979</v>
      </c>
      <c r="O577" s="37"/>
      <c r="P577" s="35"/>
      <c r="Q577" s="35"/>
    </row>
    <row r="578">
      <c r="A578" s="8">
        <v>14.0</v>
      </c>
      <c r="B578" s="2">
        <v>10.0</v>
      </c>
      <c r="C578" s="2" t="s">
        <v>1973</v>
      </c>
      <c r="D578" s="12" t="s">
        <v>59</v>
      </c>
      <c r="E578" s="2" t="s">
        <v>8</v>
      </c>
      <c r="F578" s="33" t="s">
        <v>1917</v>
      </c>
      <c r="G578" s="33" t="s">
        <v>2756</v>
      </c>
      <c r="H578" s="33"/>
      <c r="I578" s="26" t="s">
        <v>8</v>
      </c>
      <c r="J578" s="26" t="s">
        <v>1917</v>
      </c>
      <c r="K578" s="26" t="s">
        <v>2756</v>
      </c>
      <c r="L578" s="26"/>
      <c r="M578" s="32"/>
      <c r="N578" s="32"/>
      <c r="O578" s="37"/>
      <c r="P578" s="35"/>
      <c r="Q578" s="35"/>
    </row>
    <row r="579">
      <c r="A579" s="8">
        <v>14.0</v>
      </c>
      <c r="B579" s="2">
        <v>10.0</v>
      </c>
      <c r="C579" s="2" t="s">
        <v>1973</v>
      </c>
      <c r="D579" s="12" t="s">
        <v>59</v>
      </c>
      <c r="E579" s="2" t="s">
        <v>8</v>
      </c>
      <c r="F579" s="33" t="s">
        <v>1915</v>
      </c>
      <c r="G579" s="33" t="s">
        <v>2757</v>
      </c>
      <c r="H579" s="33"/>
      <c r="I579" s="26" t="s">
        <v>8</v>
      </c>
      <c r="J579" s="26" t="s">
        <v>1915</v>
      </c>
      <c r="K579" s="26" t="s">
        <v>2757</v>
      </c>
      <c r="L579" s="26"/>
      <c r="M579" s="32" t="s">
        <v>1979</v>
      </c>
      <c r="N579" s="32" t="s">
        <v>1979</v>
      </c>
      <c r="O579" s="37"/>
      <c r="P579" s="35"/>
      <c r="Q579" s="35"/>
    </row>
    <row r="580">
      <c r="A580" s="8">
        <v>14.0</v>
      </c>
      <c r="B580" s="2">
        <v>11.0</v>
      </c>
      <c r="C580" s="2" t="s">
        <v>1967</v>
      </c>
      <c r="D580" s="12" t="s">
        <v>59</v>
      </c>
      <c r="E580" s="2" t="s">
        <v>19</v>
      </c>
      <c r="F580" s="33" t="s">
        <v>1241</v>
      </c>
      <c r="G580" s="33" t="s">
        <v>1242</v>
      </c>
      <c r="H580" s="33"/>
      <c r="I580" s="26" t="s">
        <v>19</v>
      </c>
      <c r="J580" s="26" t="s">
        <v>1241</v>
      </c>
      <c r="K580" s="26" t="s">
        <v>1242</v>
      </c>
      <c r="L580" s="26"/>
      <c r="M580" s="32"/>
      <c r="N580" s="32"/>
      <c r="O580" s="37"/>
      <c r="P580" s="35"/>
      <c r="Q580" s="35"/>
    </row>
    <row r="581">
      <c r="A581" s="8">
        <v>14.0</v>
      </c>
      <c r="B581" s="2">
        <v>11.0</v>
      </c>
      <c r="C581" s="2" t="s">
        <v>1967</v>
      </c>
      <c r="D581" s="12" t="s">
        <v>59</v>
      </c>
      <c r="E581" s="2" t="s">
        <v>19</v>
      </c>
      <c r="F581" s="33" t="s">
        <v>869</v>
      </c>
      <c r="G581" s="33" t="s">
        <v>2758</v>
      </c>
      <c r="H581" s="33"/>
      <c r="I581" s="26" t="s">
        <v>19</v>
      </c>
      <c r="J581" s="26" t="s">
        <v>869</v>
      </c>
      <c r="K581" s="26" t="s">
        <v>2759</v>
      </c>
      <c r="L581" s="26"/>
      <c r="M581" s="32" t="s">
        <v>1979</v>
      </c>
      <c r="N581" s="32" t="s">
        <v>1979</v>
      </c>
      <c r="O581" s="37"/>
      <c r="P581" s="35"/>
      <c r="Q581" s="35"/>
    </row>
    <row r="582">
      <c r="A582" s="22">
        <v>14.0</v>
      </c>
      <c r="B582" s="22">
        <v>12.0</v>
      </c>
      <c r="C582" s="2" t="s">
        <v>1971</v>
      </c>
      <c r="D582" s="2" t="s">
        <v>40</v>
      </c>
      <c r="E582" s="2" t="s">
        <v>19</v>
      </c>
      <c r="F582" s="33" t="s">
        <v>1919</v>
      </c>
      <c r="G582" s="33" t="s">
        <v>2760</v>
      </c>
      <c r="H582" s="33"/>
      <c r="I582" s="26" t="s">
        <v>19</v>
      </c>
      <c r="J582" s="26" t="s">
        <v>1919</v>
      </c>
      <c r="K582" s="26" t="s">
        <v>2760</v>
      </c>
      <c r="L582" s="26"/>
      <c r="M582" s="32"/>
      <c r="N582" s="32"/>
      <c r="O582" s="37"/>
      <c r="P582" s="35"/>
      <c r="Q582" s="35"/>
    </row>
    <row r="583">
      <c r="A583" s="22">
        <v>14.0</v>
      </c>
      <c r="B583" s="22">
        <v>12.0</v>
      </c>
      <c r="C583" s="2" t="s">
        <v>1971</v>
      </c>
      <c r="D583" s="2" t="s">
        <v>40</v>
      </c>
      <c r="E583" s="2" t="s">
        <v>8</v>
      </c>
      <c r="F583" s="33" t="s">
        <v>1921</v>
      </c>
      <c r="G583" s="33" t="s">
        <v>2761</v>
      </c>
      <c r="H583" s="33"/>
      <c r="I583" s="26" t="s">
        <v>8</v>
      </c>
      <c r="J583" s="26" t="s">
        <v>1921</v>
      </c>
      <c r="K583" s="26" t="s">
        <v>2762</v>
      </c>
      <c r="L583" s="26"/>
      <c r="M583" s="32"/>
      <c r="N583" s="32"/>
      <c r="O583" s="37"/>
      <c r="P583" s="35"/>
      <c r="Q583" s="35"/>
    </row>
    <row r="584">
      <c r="A584" s="22">
        <v>14.0</v>
      </c>
      <c r="B584" s="22">
        <v>12.0</v>
      </c>
      <c r="C584" s="2" t="s">
        <v>1971</v>
      </c>
      <c r="D584" s="2" t="s">
        <v>40</v>
      </c>
      <c r="E584" s="2" t="s">
        <v>19</v>
      </c>
      <c r="F584" s="33" t="s">
        <v>1923</v>
      </c>
      <c r="G584" s="33" t="s">
        <v>2763</v>
      </c>
      <c r="H584" s="33"/>
      <c r="I584" s="26" t="s">
        <v>19</v>
      </c>
      <c r="J584" s="26" t="s">
        <v>1923</v>
      </c>
      <c r="K584" s="26" t="s">
        <v>2763</v>
      </c>
      <c r="L584" s="26"/>
      <c r="M584" s="32"/>
      <c r="N584" s="32"/>
      <c r="O584" s="37"/>
      <c r="P584" s="35"/>
      <c r="Q584" s="35"/>
    </row>
    <row r="585">
      <c r="A585" s="22">
        <v>14.0</v>
      </c>
      <c r="B585" s="22">
        <v>12.0</v>
      </c>
      <c r="C585" s="2" t="s">
        <v>1971</v>
      </c>
      <c r="D585" s="2" t="s">
        <v>40</v>
      </c>
      <c r="E585" s="2" t="s">
        <v>19</v>
      </c>
      <c r="F585" s="33" t="s">
        <v>1923</v>
      </c>
      <c r="G585" s="33" t="s">
        <v>2764</v>
      </c>
      <c r="H585" s="33"/>
      <c r="I585" s="26" t="s">
        <v>19</v>
      </c>
      <c r="J585" s="26" t="s">
        <v>1923</v>
      </c>
      <c r="K585" s="26" t="s">
        <v>2764</v>
      </c>
      <c r="L585" s="26"/>
      <c r="M585" s="32"/>
      <c r="N585" s="32"/>
      <c r="O585" s="37"/>
      <c r="P585" s="35"/>
      <c r="Q585" s="35"/>
    </row>
    <row r="586">
      <c r="A586" s="22">
        <v>14.0</v>
      </c>
      <c r="B586" s="22">
        <v>12.0</v>
      </c>
      <c r="C586" s="2" t="s">
        <v>1971</v>
      </c>
      <c r="D586" s="2" t="s">
        <v>40</v>
      </c>
      <c r="E586" s="2" t="s">
        <v>19</v>
      </c>
      <c r="F586" s="33" t="s">
        <v>1923</v>
      </c>
      <c r="G586" s="33" t="s">
        <v>2765</v>
      </c>
      <c r="H586" s="33"/>
      <c r="I586" s="26" t="s">
        <v>19</v>
      </c>
      <c r="J586" s="26" t="s">
        <v>1923</v>
      </c>
      <c r="K586" s="26" t="s">
        <v>2765</v>
      </c>
      <c r="L586" s="26"/>
      <c r="M586" s="32"/>
      <c r="N586" s="32"/>
      <c r="O586" s="37"/>
      <c r="P586" s="35"/>
      <c r="Q586" s="35"/>
    </row>
    <row r="587">
      <c r="A587" s="8">
        <v>14.0</v>
      </c>
      <c r="B587" s="2">
        <v>13.0</v>
      </c>
      <c r="C587" s="2" t="s">
        <v>1973</v>
      </c>
      <c r="D587" s="2" t="s">
        <v>40</v>
      </c>
      <c r="E587" s="2" t="s">
        <v>19</v>
      </c>
      <c r="F587" s="33" t="s">
        <v>871</v>
      </c>
      <c r="G587" s="33" t="s">
        <v>2766</v>
      </c>
      <c r="H587" s="33"/>
      <c r="I587" s="26" t="s">
        <v>19</v>
      </c>
      <c r="J587" s="26" t="s">
        <v>871</v>
      </c>
      <c r="K587" s="26" t="s">
        <v>872</v>
      </c>
      <c r="L587" s="26"/>
      <c r="M587" s="32" t="s">
        <v>2106</v>
      </c>
      <c r="N587" s="32" t="s">
        <v>2106</v>
      </c>
      <c r="O587" s="37"/>
      <c r="P587" s="35"/>
      <c r="Q587" s="35"/>
    </row>
    <row r="588">
      <c r="A588" s="8">
        <v>14.0</v>
      </c>
      <c r="B588" s="2">
        <v>13.0</v>
      </c>
      <c r="C588" s="2" t="s">
        <v>1973</v>
      </c>
      <c r="D588" s="2" t="s">
        <v>40</v>
      </c>
      <c r="E588" s="2" t="s">
        <v>19</v>
      </c>
      <c r="F588" s="33" t="s">
        <v>873</v>
      </c>
      <c r="G588" s="33" t="s">
        <v>2767</v>
      </c>
      <c r="H588" s="33"/>
      <c r="I588" s="26" t="s">
        <v>19</v>
      </c>
      <c r="J588" s="26" t="s">
        <v>873</v>
      </c>
      <c r="K588" s="26" t="s">
        <v>874</v>
      </c>
      <c r="L588" s="26"/>
      <c r="M588" s="32" t="s">
        <v>2106</v>
      </c>
      <c r="N588" s="32" t="s">
        <v>2106</v>
      </c>
      <c r="O588" s="37"/>
      <c r="P588" s="35"/>
      <c r="Q588" s="35"/>
    </row>
    <row r="589">
      <c r="A589" s="8">
        <v>14.0</v>
      </c>
      <c r="B589" s="2">
        <v>13.0</v>
      </c>
      <c r="C589" s="2" t="s">
        <v>1973</v>
      </c>
      <c r="D589" s="2" t="s">
        <v>40</v>
      </c>
      <c r="E589" s="2" t="s">
        <v>19</v>
      </c>
      <c r="F589" s="33" t="s">
        <v>875</v>
      </c>
      <c r="G589" s="33" t="s">
        <v>2768</v>
      </c>
      <c r="H589" s="33"/>
      <c r="I589" s="26" t="s">
        <v>19</v>
      </c>
      <c r="J589" s="26" t="s">
        <v>875</v>
      </c>
      <c r="K589" s="26" t="s">
        <v>2769</v>
      </c>
      <c r="L589" s="26"/>
      <c r="M589" s="32" t="s">
        <v>2106</v>
      </c>
      <c r="N589" s="32" t="s">
        <v>2106</v>
      </c>
      <c r="O589" s="37"/>
      <c r="P589" s="35"/>
      <c r="Q589" s="35"/>
    </row>
    <row r="590">
      <c r="A590" s="8">
        <v>14.0</v>
      </c>
      <c r="B590" s="2">
        <v>13.0</v>
      </c>
      <c r="C590" s="2" t="s">
        <v>1973</v>
      </c>
      <c r="D590" s="2" t="s">
        <v>40</v>
      </c>
      <c r="E590" s="2" t="s">
        <v>19</v>
      </c>
      <c r="F590" s="33" t="s">
        <v>875</v>
      </c>
      <c r="G590" s="33" t="s">
        <v>2770</v>
      </c>
      <c r="H590" s="33"/>
      <c r="I590" s="26" t="s">
        <v>19</v>
      </c>
      <c r="J590" s="26" t="s">
        <v>875</v>
      </c>
      <c r="K590" s="26" t="s">
        <v>2771</v>
      </c>
      <c r="L590" s="26"/>
      <c r="M590" s="32" t="s">
        <v>2106</v>
      </c>
      <c r="N590" s="32" t="s">
        <v>2106</v>
      </c>
      <c r="O590" s="37"/>
      <c r="P590" s="35"/>
      <c r="Q590" s="35"/>
    </row>
    <row r="591">
      <c r="A591" s="8">
        <v>14.0</v>
      </c>
      <c r="B591" s="2">
        <v>13.0</v>
      </c>
      <c r="C591" s="2" t="s">
        <v>1973</v>
      </c>
      <c r="D591" s="2" t="s">
        <v>40</v>
      </c>
      <c r="E591" s="2" t="s">
        <v>19</v>
      </c>
      <c r="F591" s="33" t="s">
        <v>1925</v>
      </c>
      <c r="G591" s="33" t="s">
        <v>1926</v>
      </c>
      <c r="H591" s="33"/>
      <c r="I591" s="26" t="s">
        <v>19</v>
      </c>
      <c r="J591" s="26" t="s">
        <v>1925</v>
      </c>
      <c r="K591" s="26" t="s">
        <v>1926</v>
      </c>
      <c r="L591" s="26"/>
      <c r="M591" s="32" t="s">
        <v>1979</v>
      </c>
      <c r="N591" s="32" t="s">
        <v>1979</v>
      </c>
      <c r="O591" s="37"/>
      <c r="P591" s="35"/>
      <c r="Q591" s="35"/>
    </row>
    <row r="592">
      <c r="A592" s="8">
        <v>14.0</v>
      </c>
      <c r="B592" s="2">
        <v>15.0</v>
      </c>
      <c r="C592" s="2" t="s">
        <v>1973</v>
      </c>
      <c r="D592" s="2" t="s">
        <v>28</v>
      </c>
      <c r="E592" s="2" t="s">
        <v>8</v>
      </c>
      <c r="F592" s="33" t="s">
        <v>1929</v>
      </c>
      <c r="G592" s="33" t="s">
        <v>2772</v>
      </c>
      <c r="H592" s="33"/>
      <c r="I592" s="26" t="s">
        <v>8</v>
      </c>
      <c r="J592" s="26" t="s">
        <v>1929</v>
      </c>
      <c r="K592" s="26" t="s">
        <v>2772</v>
      </c>
      <c r="L592" s="26"/>
      <c r="M592" s="32" t="s">
        <v>1979</v>
      </c>
      <c r="N592" s="32" t="s">
        <v>1979</v>
      </c>
      <c r="O592" s="37"/>
      <c r="P592" s="35"/>
      <c r="Q592" s="35"/>
    </row>
    <row r="593">
      <c r="A593" s="8">
        <v>14.0</v>
      </c>
      <c r="B593" s="2">
        <v>16.0</v>
      </c>
      <c r="C593" s="2" t="s">
        <v>1967</v>
      </c>
      <c r="D593" s="12" t="s">
        <v>47</v>
      </c>
      <c r="E593" s="2" t="s">
        <v>8</v>
      </c>
      <c r="F593" s="33" t="s">
        <v>877</v>
      </c>
      <c r="G593" s="33" t="s">
        <v>2773</v>
      </c>
      <c r="H593" s="33"/>
      <c r="I593" s="26" t="s">
        <v>8</v>
      </c>
      <c r="J593" s="26" t="s">
        <v>877</v>
      </c>
      <c r="K593" s="26" t="s">
        <v>2774</v>
      </c>
      <c r="L593" s="26"/>
      <c r="M593" s="32" t="s">
        <v>1979</v>
      </c>
      <c r="N593" s="32" t="s">
        <v>1979</v>
      </c>
      <c r="O593" s="37"/>
      <c r="P593" s="35"/>
      <c r="Q593" s="35"/>
    </row>
    <row r="594">
      <c r="A594" s="8">
        <v>14.0</v>
      </c>
      <c r="B594" s="2">
        <v>16.0</v>
      </c>
      <c r="C594" s="2" t="s">
        <v>1967</v>
      </c>
      <c r="D594" s="12" t="s">
        <v>47</v>
      </c>
      <c r="E594" s="2" t="s">
        <v>8</v>
      </c>
      <c r="F594" s="33" t="s">
        <v>1247</v>
      </c>
      <c r="G594" s="33" t="s">
        <v>2775</v>
      </c>
      <c r="H594" s="33"/>
      <c r="I594" s="26" t="s">
        <v>8</v>
      </c>
      <c r="J594" s="26" t="s">
        <v>1247</v>
      </c>
      <c r="K594" s="26" t="s">
        <v>1248</v>
      </c>
      <c r="L594" s="26"/>
      <c r="M594" s="32" t="s">
        <v>1979</v>
      </c>
      <c r="N594" s="32" t="s">
        <v>1979</v>
      </c>
      <c r="O594" s="37"/>
      <c r="P594" s="35"/>
      <c r="Q594" s="35"/>
    </row>
    <row r="595">
      <c r="A595" s="22">
        <v>14.0</v>
      </c>
      <c r="B595" s="22">
        <v>17.0</v>
      </c>
      <c r="C595" s="2" t="s">
        <v>1971</v>
      </c>
      <c r="D595" s="12" t="s">
        <v>47</v>
      </c>
      <c r="E595" s="2" t="s">
        <v>8</v>
      </c>
      <c r="F595" s="33" t="s">
        <v>1931</v>
      </c>
      <c r="G595" s="33" t="s">
        <v>1932</v>
      </c>
      <c r="H595" s="33"/>
      <c r="I595" s="26" t="s">
        <v>8</v>
      </c>
      <c r="J595" s="26" t="s">
        <v>1931</v>
      </c>
      <c r="K595" s="26" t="s">
        <v>1932</v>
      </c>
      <c r="L595" s="26"/>
      <c r="M595" s="32"/>
      <c r="N595" s="32"/>
      <c r="O595" s="37"/>
      <c r="P595" s="35"/>
      <c r="Q595" s="35"/>
    </row>
    <row r="596">
      <c r="A596" s="22">
        <v>14.0</v>
      </c>
      <c r="B596" s="22">
        <v>17.0</v>
      </c>
      <c r="C596" s="2" t="s">
        <v>1971</v>
      </c>
      <c r="D596" s="12" t="s">
        <v>47</v>
      </c>
      <c r="E596" s="2" t="s">
        <v>19</v>
      </c>
      <c r="F596" s="33" t="s">
        <v>1933</v>
      </c>
      <c r="G596" s="33" t="s">
        <v>2776</v>
      </c>
      <c r="H596" s="33"/>
      <c r="I596" s="26" t="s">
        <v>19</v>
      </c>
      <c r="J596" s="26" t="s">
        <v>1933</v>
      </c>
      <c r="K596" s="26" t="s">
        <v>2776</v>
      </c>
      <c r="L596" s="26"/>
      <c r="M596" s="32"/>
      <c r="N596" s="32"/>
      <c r="O596" s="37"/>
      <c r="P596" s="35"/>
      <c r="Q596" s="35"/>
    </row>
    <row r="597">
      <c r="A597" s="8">
        <v>14.0</v>
      </c>
      <c r="B597" s="2">
        <v>18.0</v>
      </c>
      <c r="C597" s="2" t="s">
        <v>1973</v>
      </c>
      <c r="D597" s="12" t="s">
        <v>47</v>
      </c>
      <c r="E597" s="2" t="s">
        <v>19</v>
      </c>
      <c r="F597" s="33" t="s">
        <v>1935</v>
      </c>
      <c r="G597" s="33" t="s">
        <v>1936</v>
      </c>
      <c r="H597" s="33"/>
      <c r="I597" s="26" t="s">
        <v>19</v>
      </c>
      <c r="J597" s="26" t="s">
        <v>1935</v>
      </c>
      <c r="K597" s="26" t="s">
        <v>1936</v>
      </c>
      <c r="L597" s="26"/>
      <c r="M597" s="32"/>
      <c r="N597" s="32"/>
      <c r="O597" s="37"/>
      <c r="P597" s="35"/>
      <c r="Q597" s="35"/>
    </row>
    <row r="598">
      <c r="A598" s="8">
        <v>14.0</v>
      </c>
      <c r="B598" s="2">
        <v>19.0</v>
      </c>
      <c r="C598" s="2" t="s">
        <v>1973</v>
      </c>
      <c r="D598" s="2" t="s">
        <v>72</v>
      </c>
      <c r="E598" s="2" t="s">
        <v>8</v>
      </c>
      <c r="F598" s="33" t="s">
        <v>880</v>
      </c>
      <c r="G598" s="33" t="s">
        <v>2777</v>
      </c>
      <c r="H598" s="33"/>
      <c r="I598" s="26" t="s">
        <v>8</v>
      </c>
      <c r="J598" s="26" t="s">
        <v>880</v>
      </c>
      <c r="K598" s="26" t="s">
        <v>2777</v>
      </c>
      <c r="L598" s="26"/>
      <c r="M598" s="32" t="s">
        <v>1979</v>
      </c>
      <c r="N598" s="32" t="s">
        <v>1979</v>
      </c>
      <c r="O598" s="37"/>
      <c r="P598" s="35"/>
      <c r="Q598" s="35"/>
    </row>
    <row r="599">
      <c r="A599" s="8">
        <v>14.0</v>
      </c>
      <c r="B599" s="2">
        <v>19.0</v>
      </c>
      <c r="C599" s="2" t="s">
        <v>1973</v>
      </c>
      <c r="D599" s="2" t="s">
        <v>72</v>
      </c>
      <c r="E599" s="2" t="s">
        <v>19</v>
      </c>
      <c r="F599" s="33" t="s">
        <v>1937</v>
      </c>
      <c r="G599" s="33" t="s">
        <v>1938</v>
      </c>
      <c r="H599" s="33"/>
      <c r="I599" s="26" t="s">
        <v>19</v>
      </c>
      <c r="J599" s="26" t="s">
        <v>1937</v>
      </c>
      <c r="K599" s="26" t="s">
        <v>1938</v>
      </c>
      <c r="L599" s="26"/>
      <c r="M599" s="32" t="s">
        <v>1979</v>
      </c>
      <c r="N599" s="32" t="s">
        <v>1979</v>
      </c>
      <c r="O599" s="37"/>
      <c r="P599" s="35"/>
      <c r="Q599" s="35"/>
    </row>
    <row r="600">
      <c r="A600" s="8">
        <v>14.0</v>
      </c>
      <c r="B600" s="2">
        <v>20.0</v>
      </c>
      <c r="C600" s="2" t="s">
        <v>1973</v>
      </c>
      <c r="D600" s="12" t="s">
        <v>72</v>
      </c>
      <c r="E600" s="2" t="s">
        <v>19</v>
      </c>
      <c r="F600" s="33" t="s">
        <v>882</v>
      </c>
      <c r="G600" s="33" t="s">
        <v>2778</v>
      </c>
      <c r="H600" s="33"/>
      <c r="I600" s="26" t="s">
        <v>19</v>
      </c>
      <c r="J600" s="26" t="s">
        <v>882</v>
      </c>
      <c r="K600" s="26" t="s">
        <v>2778</v>
      </c>
      <c r="L600" s="26"/>
      <c r="M600" s="32"/>
      <c r="N600" s="32"/>
      <c r="O600" s="37"/>
      <c r="P600" s="35"/>
      <c r="Q600" s="35"/>
    </row>
    <row r="601">
      <c r="A601" s="8">
        <v>14.0</v>
      </c>
      <c r="B601" s="2">
        <v>21.0</v>
      </c>
      <c r="C601" s="2" t="s">
        <v>1967</v>
      </c>
      <c r="D601" s="2" t="s">
        <v>33</v>
      </c>
      <c r="E601" s="2" t="s">
        <v>19</v>
      </c>
      <c r="F601" s="33" t="s">
        <v>886</v>
      </c>
      <c r="G601" s="33" t="s">
        <v>2779</v>
      </c>
      <c r="H601" s="33"/>
      <c r="I601" s="26" t="s">
        <v>19</v>
      </c>
      <c r="J601" s="26" t="s">
        <v>886</v>
      </c>
      <c r="K601" s="26" t="s">
        <v>887</v>
      </c>
      <c r="L601" s="26"/>
      <c r="M601" s="32"/>
      <c r="N601" s="32"/>
      <c r="O601" s="37"/>
      <c r="P601" s="35"/>
      <c r="Q601" s="35"/>
    </row>
    <row r="602">
      <c r="A602" s="22">
        <v>14.0</v>
      </c>
      <c r="B602" s="22">
        <v>22.0</v>
      </c>
      <c r="C602" s="2" t="s">
        <v>1971</v>
      </c>
      <c r="D602" s="2" t="s">
        <v>33</v>
      </c>
      <c r="E602" s="2" t="s">
        <v>19</v>
      </c>
      <c r="F602" s="33" t="s">
        <v>1941</v>
      </c>
      <c r="G602" s="33" t="s">
        <v>1942</v>
      </c>
      <c r="H602" s="33"/>
      <c r="I602" s="26" t="s">
        <v>19</v>
      </c>
      <c r="J602" s="26" t="s">
        <v>1941</v>
      </c>
      <c r="K602" s="26" t="s">
        <v>1942</v>
      </c>
      <c r="L602" s="26"/>
      <c r="M602" s="32"/>
      <c r="N602" s="32"/>
      <c r="O602" s="37"/>
      <c r="P602" s="35"/>
      <c r="Q602" s="35"/>
    </row>
    <row r="603">
      <c r="A603" s="8">
        <v>14.0</v>
      </c>
      <c r="B603" s="2">
        <v>23.0</v>
      </c>
      <c r="C603" s="2" t="s">
        <v>1973</v>
      </c>
      <c r="D603" s="2" t="s">
        <v>33</v>
      </c>
      <c r="E603" s="2" t="s">
        <v>19</v>
      </c>
      <c r="F603" s="33" t="s">
        <v>2780</v>
      </c>
      <c r="G603" s="33" t="s">
        <v>2781</v>
      </c>
      <c r="H603" s="33"/>
      <c r="I603" s="26" t="s">
        <v>19</v>
      </c>
      <c r="J603" s="26" t="s">
        <v>2780</v>
      </c>
      <c r="K603" s="26" t="s">
        <v>2781</v>
      </c>
      <c r="L603" s="26"/>
      <c r="M603" s="32" t="s">
        <v>1979</v>
      </c>
      <c r="N603" s="32" t="s">
        <v>1979</v>
      </c>
      <c r="O603" s="37"/>
      <c r="P603" s="35"/>
      <c r="Q603" s="35"/>
    </row>
    <row r="604">
      <c r="A604" s="8">
        <v>14.0</v>
      </c>
      <c r="B604" s="2">
        <v>23.0</v>
      </c>
      <c r="C604" s="2" t="s">
        <v>1973</v>
      </c>
      <c r="D604" s="2" t="s">
        <v>33</v>
      </c>
      <c r="E604" s="2" t="s">
        <v>8</v>
      </c>
      <c r="F604" s="33" t="s">
        <v>1943</v>
      </c>
      <c r="G604" s="33" t="s">
        <v>2782</v>
      </c>
      <c r="H604" s="33"/>
      <c r="I604" s="26" t="s">
        <v>8</v>
      </c>
      <c r="J604" s="26" t="s">
        <v>2783</v>
      </c>
      <c r="K604" s="26" t="s">
        <v>2782</v>
      </c>
      <c r="L604" s="26"/>
      <c r="M604" s="32" t="s">
        <v>1979</v>
      </c>
      <c r="N604" s="32" t="s">
        <v>1979</v>
      </c>
      <c r="O604" s="37"/>
      <c r="P604" s="35"/>
      <c r="Q604" s="35"/>
    </row>
    <row r="605">
      <c r="A605" s="8">
        <v>14.0</v>
      </c>
      <c r="B605" s="2">
        <v>23.0</v>
      </c>
      <c r="C605" s="2" t="s">
        <v>1973</v>
      </c>
      <c r="D605" s="2" t="s">
        <v>33</v>
      </c>
      <c r="E605" s="2" t="s">
        <v>19</v>
      </c>
      <c r="F605" s="33" t="s">
        <v>1945</v>
      </c>
      <c r="G605" s="33" t="s">
        <v>2784</v>
      </c>
      <c r="H605" s="33"/>
      <c r="I605" s="26" t="s">
        <v>19</v>
      </c>
      <c r="J605" s="26" t="s">
        <v>1945</v>
      </c>
      <c r="K605" s="26" t="s">
        <v>2784</v>
      </c>
      <c r="L605" s="26"/>
      <c r="M605" s="32" t="s">
        <v>1979</v>
      </c>
      <c r="N605" s="32" t="s">
        <v>1979</v>
      </c>
      <c r="O605" s="37"/>
      <c r="P605" s="35"/>
      <c r="Q605" s="35"/>
    </row>
    <row r="606">
      <c r="A606" s="8">
        <v>14.0</v>
      </c>
      <c r="B606" s="2">
        <v>24.0</v>
      </c>
      <c r="C606" s="2" t="s">
        <v>1973</v>
      </c>
      <c r="D606" s="2" t="s">
        <v>54</v>
      </c>
      <c r="E606" s="2" t="s">
        <v>19</v>
      </c>
      <c r="F606" s="33" t="s">
        <v>1947</v>
      </c>
      <c r="G606" s="33" t="s">
        <v>1948</v>
      </c>
      <c r="H606" s="33"/>
      <c r="I606" s="26" t="s">
        <v>19</v>
      </c>
      <c r="J606" s="26" t="s">
        <v>1947</v>
      </c>
      <c r="K606" s="26" t="s">
        <v>1948</v>
      </c>
      <c r="L606" s="26"/>
      <c r="M606" s="32" t="s">
        <v>1979</v>
      </c>
      <c r="N606" s="32" t="s">
        <v>1979</v>
      </c>
      <c r="O606" s="37"/>
      <c r="P606" s="35"/>
      <c r="Q606" s="35"/>
    </row>
    <row r="607">
      <c r="A607" s="8">
        <v>14.0</v>
      </c>
      <c r="B607" s="2">
        <v>25.0</v>
      </c>
      <c r="C607" s="2" t="s">
        <v>1973</v>
      </c>
      <c r="D607" s="2" t="s">
        <v>176</v>
      </c>
      <c r="E607" s="2" t="s">
        <v>8</v>
      </c>
      <c r="F607" s="33" t="s">
        <v>888</v>
      </c>
      <c r="G607" s="33" t="s">
        <v>2785</v>
      </c>
      <c r="H607" s="33"/>
      <c r="I607" s="26" t="s">
        <v>8</v>
      </c>
      <c r="J607" s="26" t="s">
        <v>888</v>
      </c>
      <c r="K607" s="26" t="s">
        <v>2786</v>
      </c>
      <c r="L607" s="26"/>
      <c r="M607" s="32"/>
      <c r="N607" s="32"/>
      <c r="O607" s="37"/>
      <c r="P607" s="35"/>
      <c r="Q607" s="35"/>
    </row>
    <row r="608">
      <c r="A608" s="8">
        <v>14.0</v>
      </c>
      <c r="B608" s="2">
        <v>25.0</v>
      </c>
      <c r="C608" s="2" t="s">
        <v>1973</v>
      </c>
      <c r="D608" s="2" t="s">
        <v>176</v>
      </c>
      <c r="E608" s="2" t="s">
        <v>8</v>
      </c>
      <c r="F608" s="33" t="s">
        <v>890</v>
      </c>
      <c r="G608" s="33" t="s">
        <v>2787</v>
      </c>
      <c r="H608" s="33"/>
      <c r="I608" s="26" t="s">
        <v>8</v>
      </c>
      <c r="J608" s="26" t="s">
        <v>890</v>
      </c>
      <c r="K608" s="26" t="s">
        <v>2787</v>
      </c>
      <c r="L608" s="26"/>
      <c r="M608" s="32"/>
      <c r="N608" s="32"/>
      <c r="O608" s="37"/>
      <c r="P608" s="35"/>
      <c r="Q608" s="35"/>
    </row>
    <row r="609">
      <c r="A609" s="8">
        <v>14.0</v>
      </c>
      <c r="B609" s="2">
        <v>26.0</v>
      </c>
      <c r="C609" s="2" t="s">
        <v>1967</v>
      </c>
      <c r="D609" s="2" t="s">
        <v>176</v>
      </c>
      <c r="E609" s="2" t="s">
        <v>8</v>
      </c>
      <c r="F609" s="33" t="s">
        <v>1257</v>
      </c>
      <c r="G609" s="33" t="s">
        <v>2788</v>
      </c>
      <c r="H609" s="33"/>
      <c r="I609" s="26" t="s">
        <v>8</v>
      </c>
      <c r="J609" s="26" t="s">
        <v>1257</v>
      </c>
      <c r="K609" s="26" t="s">
        <v>1258</v>
      </c>
      <c r="L609" s="26"/>
      <c r="M609" s="32" t="s">
        <v>1979</v>
      </c>
      <c r="N609" s="32" t="s">
        <v>1979</v>
      </c>
      <c r="O609" s="37"/>
      <c r="P609" s="35"/>
      <c r="Q609" s="35"/>
    </row>
  </sheetData>
  <dataValidations>
    <dataValidation type="list" allowBlank="1" sqref="O2:O609">
      <formula1>"primeiro,segundo"</formula1>
    </dataValidation>
  </dataValidation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15.29"/>
    <col customWidth="1" min="2" max="2" width="14.43"/>
    <col customWidth="1" min="3" max="3" width="10.14"/>
    <col customWidth="1" min="4" max="4" width="20.14"/>
    <col customWidth="1" min="5" max="5" width="25.14"/>
    <col customWidth="1" min="6" max="6" width="74.71"/>
    <col customWidth="1" min="7" max="7" width="30.0"/>
  </cols>
  <sheetData>
    <row r="1">
      <c r="A1" s="1" t="s">
        <v>0</v>
      </c>
      <c r="B1" s="1" t="s">
        <v>1</v>
      </c>
      <c r="C1" s="1" t="s">
        <v>1953</v>
      </c>
      <c r="D1" s="1" t="s">
        <v>2</v>
      </c>
      <c r="E1" s="1" t="s">
        <v>3</v>
      </c>
      <c r="F1" s="1" t="s">
        <v>4</v>
      </c>
      <c r="G1" s="1" t="s">
        <v>5</v>
      </c>
    </row>
    <row r="2" ht="83.25" customHeight="1">
      <c r="A2" s="22">
        <f>IFERROR(__xludf.DUMMYFUNCTION("if(or(QuotesCheckJudge="""",and(QuotesCheckJudge = ""primeiro"", QuotesCheckChallengeRecommendation1 &lt;&gt; """"),and(QuotesCheckJudge = ""segundo"", QuotesCheckChallengeRecommendation2 &lt;&gt; """")), filter('Quotes-Check'!A2:D2, 'Quotes-Check'!A2:D2&lt;&gt;""glugluiei"&amp;"e""),"""")"),1.0)</f>
        <v>1</v>
      </c>
      <c r="B2" s="22">
        <f>IFERROR(__xludf.DUMMYFUNCTION("""COMPUTED_VALUE"""),1.0)</f>
        <v>1</v>
      </c>
      <c r="C2" s="2" t="str">
        <f>IFERROR(__xludf.DUMMYFUNCTION("""COMPUTED_VALUE"""),"R1 / R2")</f>
        <v>R1 / R2</v>
      </c>
      <c r="D2" s="22" t="str">
        <f>IFERROR(__xludf.DUMMYFUNCTION("""COMPUTED_VALUE"""),"General Challenges and Recommendations")</f>
        <v>General Challenges and Recommendations</v>
      </c>
      <c r="E2" s="46" t="str">
        <f>IFERROR(__xludf.DUMMYFUNCTION("if(or(QuotesCheckJudge="""",and(QuotesCheckJudge = ""primeiro"", QuotesCheckChallengeRecommendation1 &lt;&gt; """")), filter('Quotes-Check'!E2:F2, 'Quotes-Check'!E2:F2&lt;&gt;""glugluieie""),if(and(QuotesCheckJudge = ""segundo"", QuotesCheckChallengeRecommendation2 &lt;"&amp;"&gt; """"), filter('Quotes-Check'!I2:J2, 'Quotes-Check'!I2:J2&lt;&gt;""glugluieie""),""""))"),"challenge")</f>
        <v>challenge</v>
      </c>
      <c r="F2" s="22" t="str">
        <f>IFERROR(__xludf.DUMMYFUNCTION("""COMPUTED_VALUE""")," [...] um problema recorrente, é do nível que os alunos chegam pra você")</f>
        <v> [...] um problema recorrente, é do nível que os alunos chegam pra você</v>
      </c>
      <c r="G2" s="22" t="str">
        <f>if(QuotesCheckJudgeAbstract&lt;&gt;"",QuotesCheckJudgeAbstract,if(or(QuotesCheckJudge="",and(QuotesCheckJudge = "primeiro", QuotesCheckChallengeRecommendation1 &lt;&gt; "")), QuotesCheckAbstract1,if(and(QuotesCheckJudge = "segundo", QuotesCheckChallengeRecommendation2 &lt;&gt; ""), QuotesCheckAbstract2,"")))</f>
        <v>Insufficient knowledge level of students to start the course.</v>
      </c>
    </row>
    <row r="3" ht="83.25" customHeight="1">
      <c r="A3" s="22">
        <f>IFERROR(__xludf.DUMMYFUNCTION("if(or(QuotesCheckJudge="""",and(QuotesCheckJudge = ""primeiro"", QuotesCheckChallengeRecommendation1 &lt;&gt; """"),and(QuotesCheckJudge = ""segundo"", QuotesCheckChallengeRecommendation2 &lt;&gt; """")), filter('Quotes-Check'!A3:D3, 'Quotes-Check'!A3:D3&lt;&gt;""glugluiei"&amp;"e""),"""")"),1.0)</f>
        <v>1</v>
      </c>
      <c r="B3" s="22">
        <f>IFERROR(__xludf.DUMMYFUNCTION("""COMPUTED_VALUE"""),1.0)</f>
        <v>1</v>
      </c>
      <c r="C3" s="2" t="str">
        <f>IFERROR(__xludf.DUMMYFUNCTION("""COMPUTED_VALUE"""),"R1 / R2")</f>
        <v>R1 / R2</v>
      </c>
      <c r="D3" s="22" t="str">
        <f>IFERROR(__xludf.DUMMYFUNCTION("""COMPUTED_VALUE"""),"General Challenges and Recommendations")</f>
        <v>General Challenges and Recommendations</v>
      </c>
      <c r="E3" s="46" t="str">
        <f>IFERROR(__xludf.DUMMYFUNCTION("if(or(QuotesCheckJudge="""",and(QuotesCheckJudge = ""primeiro"", QuotesCheckChallengeRecommendation1 &lt;&gt; """")), filter('Quotes-Check'!E3:F3, 'Quotes-Check'!E3:F3&lt;&gt;""glugluieie""),if(and(QuotesCheckJudge = ""segundo"", QuotesCheckChallengeRecommendation2 &lt;"&amp;"&gt; """"), filter('Quotes-Check'!I3:J3, 'Quotes-Check'!I3:J3&lt;&gt;""glugluieie""),""""))"),"challenge")</f>
        <v>challenge</v>
      </c>
      <c r="F3" s="22" t="str">
        <f>IFERROR(__xludf.DUMMYFUNCTION("""COMPUTED_VALUE"""),"[...]montar um ambiente pra que você comece, de fato")</f>
        <v>[...]montar um ambiente pra que você comece, de fato</v>
      </c>
      <c r="G3"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to configuring and setting up the infrastructure needed to run DevOps experiments.</v>
      </c>
    </row>
    <row r="4" ht="83.25" customHeight="1">
      <c r="A4" s="22">
        <f>IFERROR(__xludf.DUMMYFUNCTION("if(or(QuotesCheckJudge="""",and(QuotesCheckJudge = ""primeiro"", QuotesCheckChallengeRecommendation1 &lt;&gt; """"),and(QuotesCheckJudge = ""segundo"", QuotesCheckChallengeRecommendation2 &lt;&gt; """")), filter('Quotes-Check'!A4:D4, 'Quotes-Check'!A4:D4&lt;&gt;""glugluiei"&amp;"e""),"""")"),1.0)</f>
        <v>1</v>
      </c>
      <c r="B4" s="20">
        <f>IFERROR(__xludf.DUMMYFUNCTION("""COMPUTED_VALUE"""),2.0)</f>
        <v>2</v>
      </c>
      <c r="C4" s="12" t="str">
        <f>IFERROR(__xludf.DUMMYFUNCTION("""COMPUTED_VALUE"""),"R2 / R3")</f>
        <v>R2 / R3</v>
      </c>
      <c r="D4" s="20" t="str">
        <f>IFERROR(__xludf.DUMMYFUNCTION("""COMPUTED_VALUE"""),"General Challenges and Recommendations")</f>
        <v>General Challenges and Recommendations</v>
      </c>
      <c r="E4" s="46" t="str">
        <f>IFERROR(__xludf.DUMMYFUNCTION("if(or(QuotesCheckJudge="""",and(QuotesCheckJudge = ""primeiro"", QuotesCheckChallengeRecommendation1 &lt;&gt; """")), filter('Quotes-Check'!E4:F4, 'Quotes-Check'!E4:F4&lt;&gt;""glugluieie""),if(and(QuotesCheckJudge = ""segundo"", QuotesCheckChallengeRecommendation2 &lt;"&amp;"&gt; """"), filter('Quotes-Check'!I4:J4, 'Quotes-Check'!I4:J4&lt;&gt;""glugluieie""),""""))"),"challenge")</f>
        <v>challenge</v>
      </c>
      <c r="F4" s="22" t="str">
        <f>IFERROR(__xludf.DUMMYFUNCTION("""COMPUTED_VALUE"""),"[...]muitas vezes, o professor, ele precisaria de recursos computacionais pra poder abordar certos conteúdos. [...]montar cenários que fossem próximos do reais.")</f>
        <v>[...]muitas vezes, o professor, ele precisaria de recursos computacionais pra poder abordar certos conteúdos. [...]montar cenários que fossem próximos do reais.</v>
      </c>
      <c r="G4" s="22" t="str">
        <f>if(QuotesCheckJudgeAbstract&lt;&gt;"",QuotesCheckJudgeAbstract,if(or(QuotesCheckJudge="",and(QuotesCheckJudge = "primeiro", QuotesCheckChallengeRecommendation1 &lt;&gt; "")), QuotesCheckAbstract1,if(and(QuotesCheckJudge = "segundo", QuotesCheckChallengeRecommendation2 &lt;&gt; ""), QuotesCheckAbstract2,"")))</f>
        <v>Few computational resources for setting up scenarios close to real ones.</v>
      </c>
    </row>
    <row r="5" ht="83.25" customHeight="1">
      <c r="A5" s="22">
        <f>IFERROR(__xludf.DUMMYFUNCTION("if(or(QuotesCheckJudge="""",and(QuotesCheckJudge = ""primeiro"", QuotesCheckChallengeRecommendation1 &lt;&gt; """"),and(QuotesCheckJudge = ""segundo"", QuotesCheckChallengeRecommendation2 &lt;&gt; """")), filter('Quotes-Check'!A5:D5, 'Quotes-Check'!A5:D5&lt;&gt;""glugluiei"&amp;"e""),"""")"),1.0)</f>
        <v>1</v>
      </c>
      <c r="B5" s="22">
        <f>IFERROR(__xludf.DUMMYFUNCTION("""COMPUTED_VALUE"""),3.0)</f>
        <v>3</v>
      </c>
      <c r="C5" s="2" t="str">
        <f>IFERROR(__xludf.DUMMYFUNCTION("""COMPUTED_VALUE"""),"R1 / R3")</f>
        <v>R1 / R3</v>
      </c>
      <c r="D5" s="22" t="str">
        <f>IFERROR(__xludf.DUMMYFUNCTION("""COMPUTED_VALUE"""),"General Challenges and Recommendations")</f>
        <v>General Challenges and Recommendations</v>
      </c>
      <c r="E5" s="46" t="str">
        <f>IFERROR(__xludf.DUMMYFUNCTION("if(or(QuotesCheckJudge="""",and(QuotesCheckJudge = ""primeiro"", QuotesCheckChallengeRecommendation1 &lt;&gt; """")), filter('Quotes-Check'!E5:F5, 'Quotes-Check'!E5:F5&lt;&gt;""glugluieie""),if(and(QuotesCheckJudge = ""segundo"", QuotesCheckChallengeRecommendation2 &lt;"&amp;"&gt; """"), filter('Quotes-Check'!I5:J5, 'Quotes-Check'!I5:J5&lt;&gt;""glugluieie""),""""))"),"challenge")</f>
        <v>challenge</v>
      </c>
      <c r="F5" s="22" t="str">
        <f>IFERROR(__xludf.DUMMYFUNCTION("""COMPUTED_VALUE"""),"[...] muitas vezes, você não tem acesso aos recursos computacionais pra montar cenários que realmente você consiga ministrar laboratórios ou ou fazer, ali, laboratórios pra que os alunos aprendam")</f>
        <v>[...] muitas vezes, você não tem acesso aos recursos computacionais pra montar cenários que realmente você consiga ministrar laboratórios ou ou fazer, ali, laboratórios pra que os alunos aprendam</v>
      </c>
      <c r="G5" s="22" t="str">
        <f>if(QuotesCheckJudgeAbstract&lt;&gt;"",QuotesCheckJudgeAbstract,if(or(QuotesCheckJudge="",and(QuotesCheckJudge = "primeiro", QuotesCheckChallengeRecommendation1 &lt;&gt; "")), QuotesCheckAbstract1,if(and(QuotesCheckJudge = "segundo", QuotesCheckChallengeRecommendation2 &lt;&gt; ""), QuotesCheckAbstract2,"")))</f>
        <v>Few computational resources for setting up scenarios close to real ones.</v>
      </c>
    </row>
    <row r="6" ht="83.25" customHeight="1">
      <c r="A6" s="22">
        <f>IFERROR(__xludf.DUMMYFUNCTION("if(or(QuotesCheckJudge="""",and(QuotesCheckJudge = ""primeiro"", QuotesCheckChallengeRecommendation1 &lt;&gt; """"),and(QuotesCheckJudge = ""segundo"", QuotesCheckChallengeRecommendation2 &lt;&gt; """")), filter('Quotes-Check'!A6:D6, 'Quotes-Check'!A6:D6&lt;&gt;""glugluiei"&amp;"e""),"""")"),1.0)</f>
        <v>1</v>
      </c>
      <c r="B6" s="22">
        <f>IFERROR(__xludf.DUMMYFUNCTION("""COMPUTED_VALUE"""),3.0)</f>
        <v>3</v>
      </c>
      <c r="C6" s="2" t="str">
        <f>IFERROR(__xludf.DUMMYFUNCTION("""COMPUTED_VALUE"""),"R1 / R3")</f>
        <v>R1 / R3</v>
      </c>
      <c r="D6" s="22" t="str">
        <f>IFERROR(__xludf.DUMMYFUNCTION("""COMPUTED_VALUE"""),"General Challenges and Recommendations")</f>
        <v>General Challenges and Recommendations</v>
      </c>
      <c r="E6" s="46" t="str">
        <f>IFERROR(__xludf.DUMMYFUNCTION("if(or(QuotesCheckJudge="""",and(QuotesCheckJudge = ""primeiro"", QuotesCheckChallengeRecommendation1 &lt;&gt; """")), filter('Quotes-Check'!E6:F6, 'Quotes-Check'!E6:F6&lt;&gt;""glugluieie""),if(and(QuotesCheckJudge = ""segundo"", QuotesCheckChallengeRecommendation2 &lt;"&amp;"&gt; """"), filter('Quotes-Check'!I6:J6, 'Quotes-Check'!I6:J6&lt;&gt;""glugluieie""),""""))"),"challenge")</f>
        <v>challenge</v>
      </c>
      <c r="F6" s="22" t="str">
        <f>IFERROR(__xludf.DUMMYFUNCTION("""COMPUTED_VALUE"""),"[...]  Alguns datacenters como o Azure da Microsoft, né? Que o IF tem convênio, ele tem um período limitado ali de testes e precisa de cartão de crédito e coisa desse tipo e às vezes os alunos não tem.")</f>
        <v>[...]  Alguns datacenters como o Azure da Microsoft, né? Que o IF tem convênio, ele tem um período limitado ali de testes e precisa de cartão de crédito e coisa desse tipo e às vezes os alunos não tem.</v>
      </c>
      <c r="G6" s="22" t="str">
        <f>if(QuotesCheckJudgeAbstract&lt;&gt;"",QuotesCheckJudgeAbstract,if(or(QuotesCheckJudge="",and(QuotesCheckJudge = "primeiro", QuotesCheckChallengeRecommendation1 &lt;&gt; "")), QuotesCheckAbstract1,if(and(QuotesCheckJudge = "segundo", QuotesCheckChallengeRecommendation2 &lt;&gt; ""), QuotesCheckAbstract2,"")))</f>
        <v>Even though educational partnerships using private cloud providers by students could be limited.</v>
      </c>
    </row>
    <row r="7" ht="83.25" customHeight="1">
      <c r="A7" s="22">
        <f>IFERROR(__xludf.DUMMYFUNCTION("if(or(QuotesCheckJudge="""",and(QuotesCheckJudge = ""primeiro"", QuotesCheckChallengeRecommendation1 &lt;&gt; """"),and(QuotesCheckJudge = ""segundo"", QuotesCheckChallengeRecommendation2 &lt;&gt; """")), filter('Quotes-Check'!A7:D7, 'Quotes-Check'!A7:D7&lt;&gt;""glugluiei"&amp;"e""),"""")"),1.0)</f>
        <v>1</v>
      </c>
      <c r="B7" s="22">
        <f>IFERROR(__xludf.DUMMYFUNCTION("""COMPUTED_VALUE"""),3.0)</f>
        <v>3</v>
      </c>
      <c r="C7" s="2" t="str">
        <f>IFERROR(__xludf.DUMMYFUNCTION("""COMPUTED_VALUE"""),"R1 / R3")</f>
        <v>R1 / R3</v>
      </c>
      <c r="D7" s="22" t="str">
        <f>IFERROR(__xludf.DUMMYFUNCTION("""COMPUTED_VALUE"""),"General Challenges and Recommendations")</f>
        <v>General Challenges and Recommendations</v>
      </c>
      <c r="E7" s="46" t="str">
        <f>IFERROR(__xludf.DUMMYFUNCTION("if(or(QuotesCheckJudge="""",and(QuotesCheckJudge = ""primeiro"", QuotesCheckChallengeRecommendation1 &lt;&gt; """")), filter('Quotes-Check'!E7:F7, 'Quotes-Check'!E7:F7&lt;&gt;""glugluieie""),if(and(QuotesCheckJudge = ""segundo"", QuotesCheckChallengeRecommendation2 &lt;"&amp;"&gt; """"), filter('Quotes-Check'!I7:J7, 'Quotes-Check'!I7:J7&lt;&gt;""glugluieie""),""""))"),"challenge")</f>
        <v>challenge</v>
      </c>
      <c r="F7" s="22" t="str">
        <f>IFERROR(__xludf.DUMMYFUNCTION("""COMPUTED_VALUE"""),"Não existe uma conta, tipo, do professor que ele pudesse disponibilizar eh recursos pra o que os alunos aprendam, pra montar esses cenários, né? Nem nem um datacenter local, nem um desses comerciais, muitas vezes não é, não tem todas as possibilidades que"&amp;" você poderia usar, pelo menos não, sem tá vinculado a um convênio ou alguma coisa assim.")</f>
        <v>Não existe uma conta, tipo, do professor que ele pudesse disponibilizar eh recursos pra o que os alunos aprendam, pra montar esses cenários, né? Nem nem um datacenter local, nem um desses comerciais, muitas vezes não é, não tem todas as possibilidades que você poderia usar, pelo menos não, sem tá vinculado a um convênio ou alguma coisa assim.</v>
      </c>
      <c r="G7" s="22" t="str">
        <f>if(QuotesCheckJudgeAbstract&lt;&gt;"",QuotesCheckJudgeAbstract,if(or(QuotesCheckJudge="",and(QuotesCheckJudge = "primeiro", QuotesCheckChallengeRecommendation1 &lt;&gt; "")), QuotesCheckAbstract1,if(and(QuotesCheckJudge = "segundo", QuotesCheckChallengeRecommendation2 &lt;&gt; ""), QuotesCheckAbstract2,"")))</f>
        <v>In public clouds, teacher use of student resource management is not widely available.</v>
      </c>
    </row>
    <row r="8" ht="83.25" customHeight="1">
      <c r="A8" s="22">
        <f>IFERROR(__xludf.DUMMYFUNCTION("if(or(QuotesCheckJudge="""",and(QuotesCheckJudge = ""primeiro"", QuotesCheckChallengeRecommendation1 &lt;&gt; """"),and(QuotesCheckJudge = ""segundo"", QuotesCheckChallengeRecommendation2 &lt;&gt; """")), filter('Quotes-Check'!A8:D8, 'Quotes-Check'!A8:D8&lt;&gt;""glugluiei"&amp;"e""),"""")"),1.0)</f>
        <v>1</v>
      </c>
      <c r="B8" s="22">
        <f>IFERROR(__xludf.DUMMYFUNCTION("""COMPUTED_VALUE"""),3.0)</f>
        <v>3</v>
      </c>
      <c r="C8" s="2" t="str">
        <f>IFERROR(__xludf.DUMMYFUNCTION("""COMPUTED_VALUE"""),"R1 / R3")</f>
        <v>R1 / R3</v>
      </c>
      <c r="D8" s="22" t="str">
        <f>IFERROR(__xludf.DUMMYFUNCTION("""COMPUTED_VALUE"""),"General Challenges and Recommendations")</f>
        <v>General Challenges and Recommendations</v>
      </c>
      <c r="E8" s="46" t="str">
        <f>IFERROR(__xludf.DUMMYFUNCTION("if(or(QuotesCheckJudge="""",and(QuotesCheckJudge = ""primeiro"", QuotesCheckChallengeRecommendation1 &lt;&gt; """")), filter('Quotes-Check'!E8:F8, 'Quotes-Check'!E8:F8&lt;&gt;""glugluieie""),if(and(QuotesCheckJudge = ""segundo"", QuotesCheckChallengeRecommendation2 &lt;"&amp;"&gt; """"), filter('Quotes-Check'!I8:J8, 'Quotes-Check'!I8:J8&lt;&gt;""glugluieie""),""""))"),"recommendation")</f>
        <v>recommendation</v>
      </c>
      <c r="F8" s="22" t="str">
        <f>IFERROR(__xludf.DUMMYFUNCTION("""COMPUTED_VALUE"""),"[...] Amazon tem às vezes uns convênios, que acho que agora que o IF tá fazendo, que que disponibiliza essas contas de aluno que eles pudessem testar durante um um período")</f>
        <v>[...] Amazon tem às vezes uns convênios, que acho que agora que o IF tá fazendo, que que disponibiliza essas contas de aluno que eles pudessem testar durante um um período</v>
      </c>
      <c r="G8" s="22" t="str">
        <f>if(QuotesCheckJudgeAbstract&lt;&gt;"",QuotesCheckJudgeAbstract,if(or(QuotesCheckJudge="",and(QuotesCheckJudge = "primeiro", QuotesCheckChallengeRecommendation1 &lt;&gt; "")), QuotesCheckAbstract1,if(and(QuotesCheckJudge = "segundo", QuotesCheckChallengeRecommendation2 &lt;&gt; ""), QuotesCheckAbstract2,"")))</f>
        <v>Cloud service companies such as AWS, through a contract with an educational institution, can provide the computing resource for the student's use.</v>
      </c>
    </row>
    <row r="9" ht="83.25" customHeight="1">
      <c r="A9" s="22">
        <f>IFERROR(__xludf.DUMMYFUNCTION("if(or(QuotesCheckJudge="""",and(QuotesCheckJudge = ""primeiro"", QuotesCheckChallengeRecommendation1 &lt;&gt; """"),and(QuotesCheckJudge = ""segundo"", QuotesCheckChallengeRecommendation2 &lt;&gt; """")), filter('Quotes-Check'!A9:D9, 'Quotes-Check'!A9:D9&lt;&gt;""glugluiei"&amp;"e""),"""")"),1.0)</f>
        <v>1</v>
      </c>
      <c r="B9" s="2">
        <f>IFERROR(__xludf.DUMMYFUNCTION("""COMPUTED_VALUE"""),4.0)</f>
        <v>4</v>
      </c>
      <c r="C9" s="2" t="str">
        <f>IFERROR(__xludf.DUMMYFUNCTION("""COMPUTED_VALUE"""),"R1 / R2")</f>
        <v>R1 / R2</v>
      </c>
      <c r="D9" s="2" t="str">
        <f>IFERROR(__xludf.DUMMYFUNCTION("""COMPUTED_VALUE"""),"General Challenges and Recommendations")</f>
        <v>General Challenges and Recommendations</v>
      </c>
      <c r="E9" s="46" t="str">
        <f>IFERROR(__xludf.DUMMYFUNCTION("if(or(QuotesCheckJudge="""",and(QuotesCheckJudge = ""primeiro"", QuotesCheckChallengeRecommendation1 &lt;&gt; """")), filter('Quotes-Check'!E9:F9, 'Quotes-Check'!E9:F9&lt;&gt;""glugluieie""),if(and(QuotesCheckJudge = ""segundo"", QuotesCheckChallengeRecommendation2 &lt;"&amp;"&gt; """"), filter('Quotes-Check'!I9:J9, 'Quotes-Check'!I9:J9&lt;&gt;""glugluieie""),""""))"),"recommendation")</f>
        <v>recommendation</v>
      </c>
      <c r="F9" s="22" t="str">
        <f>IFERROR(__xludf.DUMMYFUNCTION("""COMPUTED_VALUE"""),"[...]quando você não tem recursos na estrutura que você tá vinculado, como uma instituição, você tem que delegar que o aluno realmente ache as formas dele[...]")</f>
        <v>[...]quando você não tem recursos na estrutura que você tá vinculado, como uma instituição, você tem que delegar que o aluno realmente ache as formas dele[...]</v>
      </c>
      <c r="G9" s="22" t="str">
        <f>if(QuotesCheckJudgeAbstract&lt;&gt;"",QuotesCheckJudgeAbstract,if(or(QuotesCheckJudge="",and(QuotesCheckJudge = "primeiro", QuotesCheckChallengeRecommendation1 &lt;&gt; "")), QuotesCheckAbstract1,if(and(QuotesCheckJudge = "segundo", QuotesCheckChallengeRecommendation2 &lt;&gt; ""), QuotesCheckAbstract2,"")))</f>
        <v>Delegate responsibility to the student.</v>
      </c>
    </row>
    <row r="10">
      <c r="A10" s="22">
        <f>IFERROR(__xludf.DUMMYFUNCTION("if(or(QuotesCheckJudge="""",and(QuotesCheckJudge = ""primeiro"", QuotesCheckChallengeRecommendation1 &lt;&gt; """"),and(QuotesCheckJudge = ""segundo"", QuotesCheckChallengeRecommendation2 &lt;&gt; """")), filter('Quotes-Check'!A10:D10, 'Quotes-Check'!A10:D10&lt;&gt;""glugl"&amp;"uieie""),"""")"),1.0)</f>
        <v>1</v>
      </c>
      <c r="B10" s="2">
        <f>IFERROR(__xludf.DUMMYFUNCTION("""COMPUTED_VALUE"""),4.0)</f>
        <v>4</v>
      </c>
      <c r="C10" s="2" t="str">
        <f>IFERROR(__xludf.DUMMYFUNCTION("""COMPUTED_VALUE"""),"R1 / R2")</f>
        <v>R1 / R2</v>
      </c>
      <c r="D10" s="2" t="str">
        <f>IFERROR(__xludf.DUMMYFUNCTION("""COMPUTED_VALUE"""),"General Challenges and Recommendations")</f>
        <v>General Challenges and Recommendations</v>
      </c>
      <c r="E10" s="46" t="str">
        <f>IFERROR(__xludf.DUMMYFUNCTION("if(or(QuotesCheckJudge="""",and(QuotesCheckJudge = ""primeiro"", QuotesCheckChallengeRecommendation1 &lt;&gt; """")), filter('Quotes-Check'!E10:F10, 'Quotes-Check'!E10:F10&lt;&gt;""glugluieie""),if(and(QuotesCheckJudge = ""segundo"", QuotesCheckChallengeRecommendatio"&amp;"n2 &lt;&gt; """"), filter('Quotes-Check'!I10:J10, 'Quotes-Check'!I10:J10&lt;&gt;""glugluieie""),""""))"),"recommendation")</f>
        <v>recommendation</v>
      </c>
      <c r="F10" s="22" t="str">
        <f>IFERROR(__xludf.DUMMYFUNCTION("""COMPUTED_VALUE"""),"[...] montar cenários que eles consigam executar no próprio computador")</f>
        <v>[...] montar cenários que eles consigam executar no próprio computador</v>
      </c>
      <c r="G10" s="22" t="str">
        <f>if(QuotesCheckJudgeAbstract&lt;&gt;"",QuotesCheckJudgeAbstract,if(or(QuotesCheckJudge="",and(QuotesCheckJudge = "primeiro", QuotesCheckChallengeRecommendation1 &lt;&gt; "")), QuotesCheckAbstract1,if(and(QuotesCheckJudge = "segundo", QuotesCheckChallengeRecommendation2 &lt;&gt; ""), QuotesCheckAbstract2,"")))</f>
        <v>Build scenarios that students can run on their own computer.</v>
      </c>
    </row>
    <row r="11">
      <c r="A11" s="22">
        <f>IFERROR(__xludf.DUMMYFUNCTION("if(or(QuotesCheckJudge="""",and(QuotesCheckJudge = ""primeiro"", QuotesCheckChallengeRecommendation1 &lt;&gt; """"),and(QuotesCheckJudge = ""segundo"", QuotesCheckChallengeRecommendation2 &lt;&gt; """")), filter('Quotes-Check'!A11:D11, 'Quotes-Check'!A11:D11&lt;&gt;""glugl"&amp;"uieie""),"""")"),1.0)</f>
        <v>1</v>
      </c>
      <c r="B11" s="2">
        <f>IFERROR(__xludf.DUMMYFUNCTION("""COMPUTED_VALUE"""),4.0)</f>
        <v>4</v>
      </c>
      <c r="C11" s="2" t="str">
        <f>IFERROR(__xludf.DUMMYFUNCTION("""COMPUTED_VALUE"""),"R1 / R2")</f>
        <v>R1 / R2</v>
      </c>
      <c r="D11" s="2" t="str">
        <f>IFERROR(__xludf.DUMMYFUNCTION("""COMPUTED_VALUE"""),"General Challenges and Recommendations")</f>
        <v>General Challenges and Recommendations</v>
      </c>
      <c r="E11" s="46" t="str">
        <f>IFERROR(__xludf.DUMMYFUNCTION("if(or(QuotesCheckJudge="""",and(QuotesCheckJudge = ""primeiro"", QuotesCheckChallengeRecommendation1 &lt;&gt; """")), filter('Quotes-Check'!E11:F11, 'Quotes-Check'!E11:F11&lt;&gt;""glugluieie""),if(and(QuotesCheckJudge = ""segundo"", QuotesCheckChallengeRecommendatio"&amp;"n2 &lt;&gt; """"), filter('Quotes-Check'!I11:J11, 'Quotes-Check'!I11:J11&lt;&gt;""glugluieie""),""""))"),"recommendation")</f>
        <v>recommendation</v>
      </c>
      <c r="F11" s="22" t="str">
        <f>IFERROR(__xludf.DUMMYFUNCTION("""COMPUTED_VALUE"""),"[...] às vezes abrir mão de certas coisas que você gostaria de lecionar [...] em detrimento de que não é o aluno não tem a capacidade de executar")</f>
        <v>[...] às vezes abrir mão de certas coisas que você gostaria de lecionar [...] em detrimento de que não é o aluno não tem a capacidade de executar</v>
      </c>
      <c r="G11" s="22" t="str">
        <f>if(QuotesCheckJudgeAbstract&lt;&gt;"",QuotesCheckJudgeAbstract,if(or(QuotesCheckJudge="",and(QuotesCheckJudge = "primeiro", QuotesCheckChallengeRecommendation1 &lt;&gt; "")), QuotesCheckAbstract1,if(and(QuotesCheckJudge = "segundo", QuotesCheckChallengeRecommendation2 &lt;&gt; ""), QuotesCheckAbstract2,"")))</f>
        <v>Give up teaching content that the students cannot run on their machine.</v>
      </c>
    </row>
    <row r="12">
      <c r="A12" s="22">
        <f>IFERROR(__xludf.DUMMYFUNCTION("if(or(QuotesCheckJudge="""",and(QuotesCheckJudge = ""primeiro"", QuotesCheckChallengeRecommendation1 &lt;&gt; """"),and(QuotesCheckJudge = ""segundo"", QuotesCheckChallengeRecommendation2 &lt;&gt; """")), filter('Quotes-Check'!A12:D12, 'Quotes-Check'!A12:D12&lt;&gt;""glugl"&amp;"uieie""),"""")"),1.0)</f>
        <v>1</v>
      </c>
      <c r="B12" s="20">
        <f>IFERROR(__xludf.DUMMYFUNCTION("""COMPUTED_VALUE"""),5.0)</f>
        <v>5</v>
      </c>
      <c r="C12" s="12" t="str">
        <f>IFERROR(__xludf.DUMMYFUNCTION("""COMPUTED_VALUE"""),"R2 / R3")</f>
        <v>R2 / R3</v>
      </c>
      <c r="D12" s="22" t="str">
        <f>IFERROR(__xludf.DUMMYFUNCTION("""COMPUTED_VALUE"""),"DevOps Concepts")</f>
        <v>DevOps Concepts</v>
      </c>
      <c r="E12" s="46" t="str">
        <f>IFERROR(__xludf.DUMMYFUNCTION("if(or(QuotesCheckJudge="""",and(QuotesCheckJudge = ""primeiro"", QuotesCheckChallengeRecommendation1 &lt;&gt; """")), filter('Quotes-Check'!E12:F12, 'Quotes-Check'!E12:F12&lt;&gt;""glugluieie""),if(and(QuotesCheckJudge = ""segundo"", QuotesCheckChallengeRecommendatio"&amp;"n2 &lt;&gt; """"), filter('Quotes-Check'!I12:J12, 'Quotes-Check'!I12:J12&lt;&gt;""glugluieie""),""""))"),"recommendation")</f>
        <v>recommendation</v>
      </c>
      <c r="F12" s="22" t="str">
        <f>IFERROR(__xludf.DUMMYFUNCTION("""COMPUTED_VALUE"""),"[...]soluções que o aluno possa executar no própria computador dele. [...]adaptar pra algo talvez de menos demanda computacional.")</f>
        <v>[...]soluções que o aluno possa executar no própria computador dele. [...]adaptar pra algo talvez de menos demanda computacional.</v>
      </c>
      <c r="G12" s="22" t="str">
        <f>if(QuotesCheckJudgeAbstract&lt;&gt;"",QuotesCheckJudgeAbstract,if(or(QuotesCheckJudge="",and(QuotesCheckJudge = "primeiro", QuotesCheckChallengeRecommendation1 &lt;&gt; "")), QuotesCheckAbstract1,if(and(QuotesCheckJudge = "segundo", QuotesCheckChallengeRecommendation2 &lt;&gt; ""), QuotesCheckAbstract2,"")))</f>
        <v>Take advantage of the student's own computational resource and adapt to something that requires less computational demand.</v>
      </c>
    </row>
    <row r="13">
      <c r="A13" s="22">
        <f>IFERROR(__xludf.DUMMYFUNCTION("if(or(QuotesCheckJudge="""",and(QuotesCheckJudge = ""primeiro"", QuotesCheckChallengeRecommendation1 &lt;&gt; """"),and(QuotesCheckJudge = ""segundo"", QuotesCheckChallengeRecommendation2 &lt;&gt; """")), filter('Quotes-Check'!A13:D13, 'Quotes-Check'!A13:D13&lt;&gt;""glugl"&amp;"uieie""),"""")"),1.0)</f>
        <v>1</v>
      </c>
      <c r="B13" s="22">
        <f>IFERROR(__xludf.DUMMYFUNCTION("""COMPUTED_VALUE"""),6.0)</f>
        <v>6</v>
      </c>
      <c r="C13" s="2" t="str">
        <f>IFERROR(__xludf.DUMMYFUNCTION("""COMPUTED_VALUE"""),"R1 / R3")</f>
        <v>R1 / R3</v>
      </c>
      <c r="D13" s="22" t="str">
        <f>IFERROR(__xludf.DUMMYFUNCTION("""COMPUTED_VALUE"""),"DevOps Concepts")</f>
        <v>DevOps Concepts</v>
      </c>
      <c r="E13" s="46" t="str">
        <f>IFERROR(__xludf.DUMMYFUNCTION("if(or(QuotesCheckJudge="""",and(QuotesCheckJudge = ""primeiro"", QuotesCheckChallengeRecommendation1 &lt;&gt; """")), filter('Quotes-Check'!E13:F13, 'Quotes-Check'!E13:F13&lt;&gt;""glugluieie""),if(and(QuotesCheckJudge = ""segundo"", QuotesCheckChallengeRecommendatio"&amp;"n2 &lt;&gt; """"), filter('Quotes-Check'!I13:J13, 'Quotes-Check'!I13:J13&lt;&gt;""glugluieie""),""""))"),"challenge")</f>
        <v>challenge</v>
      </c>
      <c r="F13" s="22" t="str">
        <f>IFERROR(__xludf.DUMMYFUNCTION("""COMPUTED_VALUE"""),"[...] não existe uma taxonomia muito bem aceita de quais são os conceitos devops")</f>
        <v>[...] não existe uma taxonomia muito bem aceita de quais são os conceitos devops</v>
      </c>
      <c r="G13" s="22" t="str">
        <f>if(QuotesCheckJudgeAbstract&lt;&gt;"",QuotesCheckJudgeAbstract,if(or(QuotesCheckJudge="",and(QuotesCheckJudge = "primeiro", QuotesCheckChallengeRecommendation1 &lt;&gt; "")), QuotesCheckAbstract1,if(and(QuotesCheckJudge = "segundo", QuotesCheckChallengeRecommendation2 &lt;&gt; ""), QuotesCheckAbstract2,"")))</f>
        <v>There is no taxonomy about what are the main DevOps concepts.</v>
      </c>
    </row>
    <row r="14">
      <c r="A14" s="22">
        <f>IFERROR(__xludf.DUMMYFUNCTION("if(or(QuotesCheckJudge="""",and(QuotesCheckJudge = ""primeiro"", QuotesCheckChallengeRecommendation1 &lt;&gt; """"),and(QuotesCheckJudge = ""segundo"", QuotesCheckChallengeRecommendation2 &lt;&gt; """")), filter('Quotes-Check'!A14:D14, 'Quotes-Check'!A14:D14&lt;&gt;""glugl"&amp;"uieie""),"""")"),1.0)</f>
        <v>1</v>
      </c>
      <c r="B14" s="2">
        <f>IFERROR(__xludf.DUMMYFUNCTION("""COMPUTED_VALUE"""),7.0)</f>
        <v>7</v>
      </c>
      <c r="C14" s="2" t="str">
        <f>IFERROR(__xludf.DUMMYFUNCTION("""COMPUTED_VALUE"""),"R1 / R2")</f>
        <v>R1 / R2</v>
      </c>
      <c r="D14" s="2" t="str">
        <f>IFERROR(__xludf.DUMMYFUNCTION("""COMPUTED_VALUE"""),"DevOps Concepts")</f>
        <v>DevOps Concepts</v>
      </c>
      <c r="E14" s="46" t="str">
        <f>IFERROR(__xludf.DUMMYFUNCTION("if(or(QuotesCheckJudge="""",and(QuotesCheckJudge = ""primeiro"", QuotesCheckChallengeRecommendation1 &lt;&gt; """")), filter('Quotes-Check'!E14:F14, 'Quotes-Check'!E14:F14&lt;&gt;""glugluieie""),if(and(QuotesCheckJudge = ""segundo"", QuotesCheckChallengeRecommendatio"&amp;"n2 &lt;&gt; """"), filter('Quotes-Check'!I14:J14, 'Quotes-Check'!I14:J14&lt;&gt;""glugluieie""),""""))"),"recommendation")</f>
        <v>recommendation</v>
      </c>
      <c r="F14" s="22" t="str">
        <f>IFERROR(__xludf.DUMMYFUNCTION("""COMPUTED_VALUE"""),"[...] isso fosse de alguma forma harmonizada")</f>
        <v>[...] isso fosse de alguma forma harmonizada</v>
      </c>
      <c r="G14" s="22" t="str">
        <f>if(QuotesCheckJudgeAbstract&lt;&gt;"",QuotesCheckJudgeAbstract,if(or(QuotesCheckJudge="",and(QuotesCheckJudge = "primeiro", QuotesCheckChallengeRecommendation1 &lt;&gt; "")), QuotesCheckAbstract1,if(and(QuotesCheckJudge = "segundo", QuotesCheckChallengeRecommendation2 &lt;&gt; ""), QuotesCheckAbstract2,"")))</f>
        <v>Define what are the devops concepts.</v>
      </c>
    </row>
    <row r="15">
      <c r="A15" s="22">
        <f>IFERROR(__xludf.DUMMYFUNCTION("if(or(QuotesCheckJudge="""",and(QuotesCheckJudge = ""primeiro"", QuotesCheckChallengeRecommendation1 &lt;&gt; """"),and(QuotesCheckJudge = ""segundo"", QuotesCheckChallengeRecommendation2 &lt;&gt; """")), filter('Quotes-Check'!A15:D15, 'Quotes-Check'!A15:D15&lt;&gt;""glugl"&amp;"uieie""),"""")"),1.0)</f>
        <v>1</v>
      </c>
      <c r="B15" s="20">
        <f>IFERROR(__xludf.DUMMYFUNCTION("""COMPUTED_VALUE"""),8.0)</f>
        <v>8</v>
      </c>
      <c r="C15" s="12" t="str">
        <f>IFERROR(__xludf.DUMMYFUNCTION("""COMPUTED_VALUE"""),"R2 / R3")</f>
        <v>R2 / R3</v>
      </c>
      <c r="D15" s="22" t="str">
        <f>IFERROR(__xludf.DUMMYFUNCTION("""COMPUTED_VALUE"""),"Assessment")</f>
        <v>Assessment</v>
      </c>
      <c r="E15" s="46" t="str">
        <f>IFERROR(__xludf.DUMMYFUNCTION("if(or(QuotesCheckJudge="""",and(QuotesCheckJudge = ""primeiro"", QuotesCheckChallengeRecommendation1 &lt;&gt; """")), filter('Quotes-Check'!E15:F15, 'Quotes-Check'!E15:F15&lt;&gt;""glugluieie""),if(and(QuotesCheckJudge = ""segundo"", QuotesCheckChallengeRecommendatio"&amp;"n2 &lt;&gt; """"), filter('Quotes-Check'!I15:J15, 'Quotes-Check'!I15:J15&lt;&gt;""glugluieie""),""""))"),"recommendation")</f>
        <v>recommendation</v>
      </c>
      <c r="F15" s="22" t="str">
        <f>IFERROR(__xludf.DUMMYFUNCTION("""COMPUTED_VALUE"""),"Você não consegue avaliar com prova, você tem que avaliar com projetos com algum tipo de atividade.")</f>
        <v>Você não consegue avaliar com prova, você tem que avaliar com projetos com algum tipo de atividade.</v>
      </c>
      <c r="G15" s="22" t="str">
        <f>if(QuotesCheckJudgeAbstract&lt;&gt;"",QuotesCheckJudgeAbstract,if(or(QuotesCheckJudge="",and(QuotesCheckJudge = "primeiro", QuotesCheckChallengeRecommendation1 &lt;&gt; "")), QuotesCheckAbstract1,if(and(QuotesCheckJudge = "segundo", QuotesCheckChallengeRecommendation2 &lt;&gt; ""), QuotesCheckAbstract2,"")))</f>
        <v>You can't assess students' DevOps learning with a test, it's necessary to assess with projects, with some kind of hands-on activity.</v>
      </c>
    </row>
    <row r="16">
      <c r="A16" s="22" t="str">
        <f>IFERROR(__xludf.DUMMYFUNCTION("if(or(QuotesCheckJudge="""",and(QuotesCheckJudge = ""primeiro"", QuotesCheckChallengeRecommendation1 &lt;&gt; """"),and(QuotesCheckJudge = ""segundo"", QuotesCheckChallengeRecommendation2 &lt;&gt; """")), filter('Quotes-Check'!A16:D16, 'Quotes-Check'!A16:D16&lt;&gt;""glugl"&amp;"uieie""),"""")"),"")</f>
        <v/>
      </c>
      <c r="B16" s="20"/>
      <c r="C16" s="12"/>
      <c r="D16" s="22"/>
      <c r="E16" s="46" t="str">
        <f>IFERROR(__xludf.DUMMYFUNCTION("if(or(QuotesCheckJudge="""",and(QuotesCheckJudge = ""primeiro"", QuotesCheckChallengeRecommendation1 &lt;&gt; """")), filter('Quotes-Check'!E16:F16, 'Quotes-Check'!E16:F16&lt;&gt;""glugluieie""),if(and(QuotesCheckJudge = ""segundo"", QuotesCheckChallengeRecommendatio"&amp;"n2 &lt;&gt; """"), filter('Quotes-Check'!I16:J16, 'Quotes-Check'!I16:J16&lt;&gt;""glugluieie""),""""))"),"")</f>
        <v/>
      </c>
      <c r="F16" s="22"/>
      <c r="G16" s="22" t="str">
        <f>if(QuotesCheckJudgeAbstract&lt;&gt;"",QuotesCheckJudgeAbstract,if(or(QuotesCheckJudge="",and(QuotesCheckJudge = "primeiro", QuotesCheckChallengeRecommendation1 &lt;&gt; "")), QuotesCheckAbstract1,if(and(QuotesCheckJudge = "segundo", QuotesCheckChallengeRecommendation2 &lt;&gt; ""), QuotesCheckAbstract2,"")))</f>
        <v/>
      </c>
    </row>
    <row r="17">
      <c r="A17" s="22" t="str">
        <f>IFERROR(__xludf.DUMMYFUNCTION("if(or(QuotesCheckJudge="""",and(QuotesCheckJudge = ""primeiro"", QuotesCheckChallengeRecommendation1 &lt;&gt; """"),and(QuotesCheckJudge = ""segundo"", QuotesCheckChallengeRecommendation2 &lt;&gt; """")), filter('Quotes-Check'!A17:D17, 'Quotes-Check'!A17:D17&lt;&gt;""glugl"&amp;"uieie""),"""")"),"")</f>
        <v/>
      </c>
      <c r="B17" s="20"/>
      <c r="C17" s="12"/>
      <c r="D17" s="22"/>
      <c r="E17" s="46" t="str">
        <f>IFERROR(__xludf.DUMMYFUNCTION("if(or(QuotesCheckJudge="""",and(QuotesCheckJudge = ""primeiro"", QuotesCheckChallengeRecommendation1 &lt;&gt; """")), filter('Quotes-Check'!E17:F17, 'Quotes-Check'!E17:F17&lt;&gt;""glugluieie""),if(and(QuotesCheckJudge = ""segundo"", QuotesCheckChallengeRecommendatio"&amp;"n2 &lt;&gt; """"), filter('Quotes-Check'!I17:J17, 'Quotes-Check'!I17:J17&lt;&gt;""glugluieie""),""""))"),"")</f>
        <v/>
      </c>
      <c r="F17" s="22"/>
      <c r="G17" s="22" t="str">
        <f>if(QuotesCheckJudgeAbstract&lt;&gt;"",QuotesCheckJudgeAbstract,if(or(QuotesCheckJudge="",and(QuotesCheckJudge = "primeiro", QuotesCheckChallengeRecommendation1 &lt;&gt; "")), QuotesCheckAbstract1,if(and(QuotesCheckJudge = "segundo", QuotesCheckChallengeRecommendation2 &lt;&gt; ""), QuotesCheckAbstract2,"")))</f>
        <v/>
      </c>
    </row>
    <row r="18">
      <c r="A18" s="22">
        <f>IFERROR(__xludf.DUMMYFUNCTION("if(or(QuotesCheckJudge="""",and(QuotesCheckJudge = ""primeiro"", QuotesCheckChallengeRecommendation1 &lt;&gt; """"),and(QuotesCheckJudge = ""segundo"", QuotesCheckChallengeRecommendation2 &lt;&gt; """")), filter('Quotes-Check'!A18:D18, 'Quotes-Check'!A18:D18&lt;&gt;""glugl"&amp;"uieie""),"""")"),1.0)</f>
        <v>1</v>
      </c>
      <c r="B18" s="22">
        <f>IFERROR(__xludf.DUMMYFUNCTION("""COMPUTED_VALUE"""),9.0)</f>
        <v>9</v>
      </c>
      <c r="C18" s="2" t="str">
        <f>IFERROR(__xludf.DUMMYFUNCTION("""COMPUTED_VALUE"""),"R1 / R3")</f>
        <v>R1 / R3</v>
      </c>
      <c r="D18" s="22" t="str">
        <f>IFERROR(__xludf.DUMMYFUNCTION("""COMPUTED_VALUE"""),"Assessment")</f>
        <v>Assessment</v>
      </c>
      <c r="E18" s="46" t="str">
        <f>IFERROR(__xludf.DUMMYFUNCTION("if(or(QuotesCheckJudge="""",and(QuotesCheckJudge = ""primeiro"", QuotesCheckChallengeRecommendation1 &lt;&gt; """")), filter('Quotes-Check'!E18:F18, 'Quotes-Check'!E18:F18&lt;&gt;""glugluieie""),if(and(QuotesCheckJudge = ""segundo"", QuotesCheckChallengeRecommendatio"&amp;"n2 &lt;&gt; """"), filter('Quotes-Check'!I18:J18, 'Quotes-Check'!I18:J18&lt;&gt;""glugluieie""),""""))"),"recommendation")</f>
        <v>recommendation</v>
      </c>
      <c r="F18" s="22" t="str">
        <f>IFERROR(__xludf.DUMMYFUNCTION("""COMPUTED_VALUE"""),"[...] Com algum tipo de atividade prática. ")</f>
        <v>[...] Com algum tipo de atividade prática. </v>
      </c>
      <c r="G18" s="22" t="str">
        <f>if(QuotesCheckJudgeAbstract&lt;&gt;"",QuotesCheckJudgeAbstract,if(or(QuotesCheckJudge="",and(QuotesCheckJudge = "primeiro", QuotesCheckChallengeRecommendation1 &lt;&gt; "")), QuotesCheckAbstract1,if(and(QuotesCheckJudge = "segundo", QuotesCheckChallengeRecommendation2 &lt;&gt; ""), QuotesCheckAbstract2,"")))</f>
        <v>DevOps teaching with practical activities.</v>
      </c>
    </row>
    <row r="19">
      <c r="A19" s="22">
        <f>IFERROR(__xludf.DUMMYFUNCTION("if(or(QuotesCheckJudge="""",and(QuotesCheckJudge = ""primeiro"", QuotesCheckChallengeRecommendation1 &lt;&gt; """"),and(QuotesCheckJudge = ""segundo"", QuotesCheckChallengeRecommendation2 &lt;&gt; """")), filter('Quotes-Check'!A19:D19, 'Quotes-Check'!A19:D19&lt;&gt;""glugl"&amp;"uieie""),"""")"),1.0)</f>
        <v>1</v>
      </c>
      <c r="B19" s="22">
        <f>IFERROR(__xludf.DUMMYFUNCTION("""COMPUTED_VALUE"""),9.0)</f>
        <v>9</v>
      </c>
      <c r="C19" s="2" t="str">
        <f>IFERROR(__xludf.DUMMYFUNCTION("""COMPUTED_VALUE"""),"R1 / R3")</f>
        <v>R1 / R3</v>
      </c>
      <c r="D19" s="22" t="str">
        <f>IFERROR(__xludf.DUMMYFUNCTION("""COMPUTED_VALUE"""),"Assessment")</f>
        <v>Assessment</v>
      </c>
      <c r="E19" s="46" t="str">
        <f>IFERROR(__xludf.DUMMYFUNCTION("if(or(QuotesCheckJudge="""",and(QuotesCheckJudge = ""primeiro"", QuotesCheckChallengeRecommendation1 &lt;&gt; """")), filter('Quotes-Check'!E19:F19, 'Quotes-Check'!E19:F19&lt;&gt;""glugluieie""),if(and(QuotesCheckJudge = ""segundo"", QuotesCheckChallengeRecommendatio"&amp;"n2 &lt;&gt; """"), filter('Quotes-Check'!I19:J19, 'Quotes-Check'!I19:J19&lt;&gt;""glugluieie""),""""))"),"recommendation")</f>
        <v>recommendation</v>
      </c>
      <c r="F19" s="22" t="str">
        <f>IFERROR(__xludf.DUMMYFUNCTION("""COMPUTED_VALUE"""),"Sempre vai ser baseado em projeto")</f>
        <v>Sempre vai ser baseado em projeto</v>
      </c>
      <c r="G19" s="22" t="str">
        <f>if(QuotesCheckJudgeAbstract&lt;&gt;"",QuotesCheckJudgeAbstract,if(or(QuotesCheckJudge="",and(QuotesCheckJudge = "primeiro", QuotesCheckChallengeRecommendation1 &lt;&gt; "")), QuotesCheckAbstract1,if(and(QuotesCheckJudge = "segundo", QuotesCheckChallengeRecommendation2 &lt;&gt; ""), QuotesCheckAbstract2,"")))</f>
        <v>DevOps teaching should be project-based.</v>
      </c>
    </row>
    <row r="20">
      <c r="A20" s="22">
        <f>IFERROR(__xludf.DUMMYFUNCTION("if(or(QuotesCheckJudge="""",and(QuotesCheckJudge = ""primeiro"", QuotesCheckChallengeRecommendation1 &lt;&gt; """"),and(QuotesCheckJudge = ""segundo"", QuotesCheckChallengeRecommendation2 &lt;&gt; """")), filter('Quotes-Check'!A20:D20, 'Quotes-Check'!A20:D20&lt;&gt;""glugl"&amp;"uieie""),"""")"),1.0)</f>
        <v>1</v>
      </c>
      <c r="B20" s="22">
        <f>IFERROR(__xludf.DUMMYFUNCTION("""COMPUTED_VALUE"""),9.0)</f>
        <v>9</v>
      </c>
      <c r="C20" s="2" t="str">
        <f>IFERROR(__xludf.DUMMYFUNCTION("""COMPUTED_VALUE"""),"R1 / R3")</f>
        <v>R1 / R3</v>
      </c>
      <c r="D20" s="22" t="str">
        <f>IFERROR(__xludf.DUMMYFUNCTION("""COMPUTED_VALUE"""),"Assessment")</f>
        <v>Assessment</v>
      </c>
      <c r="E20" s="46" t="str">
        <f>IFERROR(__xludf.DUMMYFUNCTION("if(or(QuotesCheckJudge="""",and(QuotesCheckJudge = ""primeiro"", QuotesCheckChallengeRecommendation1 &lt;&gt; """")), filter('Quotes-Check'!E20:F20, 'Quotes-Check'!E20:F20&lt;&gt;""glugluieie""),if(and(QuotesCheckJudge = ""segundo"", QuotesCheckChallengeRecommendatio"&amp;"n2 &lt;&gt; """"), filter('Quotes-Check'!I20:J20, 'Quotes-Check'!I20:J20&lt;&gt;""glugluieie""),""""))"),"recommendation")</f>
        <v>recommendation</v>
      </c>
      <c r="F20" s="22" t="str">
        <f>IFERROR(__xludf.DUMMYFUNCTION("""COMPUTED_VALUE""")," [...] poder avaliar as tem que ser um roteiro de ações práticas que o aluno tem que realizar e você vai avaliar enquanto aquele aluno tá fazendo aquilo ali")</f>
        <v> [...] poder avaliar as tem que ser um roteiro de ações práticas que o aluno tem que realizar e você vai avaliar enquanto aquele aluno tá fazendo aquilo ali</v>
      </c>
      <c r="G20" s="22" t="str">
        <f>if(QuotesCheckJudgeAbstract&lt;&gt;"",QuotesCheckJudgeAbstract,if(or(QuotesCheckJudge="",and(QuotesCheckJudge = "primeiro", QuotesCheckChallengeRecommendation1 &lt;&gt; "")), QuotesCheckAbstract1,if(and(QuotesCheckJudge = "segundo", QuotesCheckChallengeRecommendation2 &lt;&gt; ""), QuotesCheckAbstract2,"")))</f>
        <v>Create script for practical devops activities.</v>
      </c>
    </row>
    <row r="21">
      <c r="A21" s="22">
        <f>IFERROR(__xludf.DUMMYFUNCTION("if(or(QuotesCheckJudge="""",and(QuotesCheckJudge = ""primeiro"", QuotesCheckChallengeRecommendation1 &lt;&gt; """"),and(QuotesCheckJudge = ""segundo"", QuotesCheckChallengeRecommendation2 &lt;&gt; """")), filter('Quotes-Check'!A21:D21, 'Quotes-Check'!A21:D21&lt;&gt;""glugl"&amp;"uieie""),"""")"),1.0)</f>
        <v>1</v>
      </c>
      <c r="B21" s="22">
        <f>IFERROR(__xludf.DUMMYFUNCTION("""COMPUTED_VALUE"""),10.0)</f>
        <v>10</v>
      </c>
      <c r="C21" s="2" t="str">
        <f>IFERROR(__xludf.DUMMYFUNCTION("""COMPUTED_VALUE"""),"R1 / R2")</f>
        <v>R1 / R2</v>
      </c>
      <c r="D21" s="22" t="str">
        <f>IFERROR(__xludf.DUMMYFUNCTION("""COMPUTED_VALUE"""),"Tool / Technology")</f>
        <v>Tool / Technology</v>
      </c>
      <c r="E21" s="46" t="str">
        <f>IFERROR(__xludf.DUMMYFUNCTION("if(or(QuotesCheckJudge="""",and(QuotesCheckJudge = ""primeiro"", QuotesCheckChallengeRecommendation1 &lt;&gt; """")), filter('Quotes-Check'!E21:F21, 'Quotes-Check'!E21:F21&lt;&gt;""glugluieie""),if(and(QuotesCheckJudge = ""segundo"", QuotesCheckChallengeRecommendatio"&amp;"n2 &lt;&gt; """"), filter('Quotes-Check'!I21:J21, 'Quotes-Check'!I21:J21&lt;&gt;""glugluieie""),""""))"),"recommendation")</f>
        <v>recommendation</v>
      </c>
      <c r="F21" s="22" t="str">
        <f>IFERROR(__xludf.DUMMYFUNCTION("""COMPUTED_VALUE"""),"eu acho que uma candidata potencial é o GNS3")</f>
        <v>eu acho que uma candidata potencial é o GNS3</v>
      </c>
      <c r="G21" s="22" t="str">
        <f>if(QuotesCheckJudgeAbstract&lt;&gt;"",QuotesCheckJudgeAbstract,if(or(QuotesCheckJudge="",and(QuotesCheckJudge = "primeiro", QuotesCheckChallengeRecommendation1 &lt;&gt; "")), QuotesCheckAbstract1,if(and(QuotesCheckJudge = "segundo", QuotesCheckChallengeRecommendation2 &lt;&gt; ""), QuotesCheckAbstract2,"")))</f>
        <v>The GNS3 tool is a potential candidate as a tool for teaching DevOps.</v>
      </c>
    </row>
    <row r="22">
      <c r="A22" s="22">
        <f>IFERROR(__xludf.DUMMYFUNCTION("if(or(QuotesCheckJudge="""",and(QuotesCheckJudge = ""primeiro"", QuotesCheckChallengeRecommendation1 &lt;&gt; """"),and(QuotesCheckJudge = ""segundo"", QuotesCheckChallengeRecommendation2 &lt;&gt; """")), filter('Quotes-Check'!A22:D22, 'Quotes-Check'!A22:D22&lt;&gt;""glugl"&amp;"uieie""),"""")"),1.0)</f>
        <v>1</v>
      </c>
      <c r="B22" s="2">
        <f>IFERROR(__xludf.DUMMYFUNCTION("""COMPUTED_VALUE"""),10.0)</f>
        <v>10</v>
      </c>
      <c r="C22" s="2" t="str">
        <f>IFERROR(__xludf.DUMMYFUNCTION("""COMPUTED_VALUE"""),"R1 / R2")</f>
        <v>R1 / R2</v>
      </c>
      <c r="D22" s="2" t="str">
        <f>IFERROR(__xludf.DUMMYFUNCTION("""COMPUTED_VALUE"""),"Tool / Technology")</f>
        <v>Tool / Technology</v>
      </c>
      <c r="E22" s="46" t="str">
        <f>IFERROR(__xludf.DUMMYFUNCTION("if(or(QuotesCheckJudge="""",and(QuotesCheckJudge = ""primeiro"", QuotesCheckChallengeRecommendation1 &lt;&gt; """")), filter('Quotes-Check'!E22:F22, 'Quotes-Check'!E22:F22&lt;&gt;""glugluieie""),if(and(QuotesCheckJudge = ""segundo"", QuotesCheckChallengeRecommendatio"&amp;"n2 &lt;&gt; """"), filter('Quotes-Check'!I22:J22, 'Quotes-Check'!I22:J22&lt;&gt;""glugluieie""),""""))"),"challenge")</f>
        <v>challenge</v>
      </c>
      <c r="F22" s="22" t="str">
        <f>IFERROR(__xludf.DUMMYFUNCTION("""COMPUTED_VALUE"""),"[...] não conheço nenhuma ferramenta específica de pra ensino de devops")</f>
        <v>[...] não conheço nenhuma ferramenta específica de pra ensino de devops</v>
      </c>
      <c r="G22" s="22" t="str">
        <f>if(QuotesCheckJudgeAbstract&lt;&gt;"",QuotesCheckJudgeAbstract,if(or(QuotesCheckJudge="",and(QuotesCheckJudge = "primeiro", QuotesCheckChallengeRecommendation1 &lt;&gt; "")), QuotesCheckAbstract1,if(and(QuotesCheckJudge = "segundo", QuotesCheckChallengeRecommendation2 &lt;&gt; ""), QuotesCheckAbstract2,"")))</f>
        <v>Unknown specific devops educational supportive environment.</v>
      </c>
    </row>
    <row r="23">
      <c r="A23" s="22">
        <f>IFERROR(__xludf.DUMMYFUNCTION("if(or(QuotesCheckJudge="""",and(QuotesCheckJudge = ""primeiro"", QuotesCheckChallengeRecommendation1 &lt;&gt; """"),and(QuotesCheckJudge = ""segundo"", QuotesCheckChallengeRecommendation2 &lt;&gt; """")), filter('Quotes-Check'!A23:D23, 'Quotes-Check'!A23:D23&lt;&gt;""glugl"&amp;"uieie""),"""")"),1.0)</f>
        <v>1</v>
      </c>
      <c r="B23" s="2">
        <f>IFERROR(__xludf.DUMMYFUNCTION("""COMPUTED_VALUE"""),10.0)</f>
        <v>10</v>
      </c>
      <c r="C23" s="2" t="str">
        <f>IFERROR(__xludf.DUMMYFUNCTION("""COMPUTED_VALUE"""),"R1 / R2")</f>
        <v>R1 / R2</v>
      </c>
      <c r="D23" s="2" t="str">
        <f>IFERROR(__xludf.DUMMYFUNCTION("""COMPUTED_VALUE"""),"Tool / Technology")</f>
        <v>Tool / Technology</v>
      </c>
      <c r="E23" s="46" t="str">
        <f>IFERROR(__xludf.DUMMYFUNCTION("if(or(QuotesCheckJudge="""",and(QuotesCheckJudge = ""primeiro"", QuotesCheckChallengeRecommendation1 &lt;&gt; """")), filter('Quotes-Check'!E23:F23, 'Quotes-Check'!E23:F23&lt;&gt;""glugluieie""),if(and(QuotesCheckJudge = ""segundo"", QuotesCheckChallengeRecommendatio"&amp;"n2 &lt;&gt; """"), filter('Quotes-Check'!I23:J23, 'Quotes-Check'!I23:J23&lt;&gt;""glugluieie""),""""))"),"recommendation")</f>
        <v>recommendation</v>
      </c>
      <c r="F23" s="22" t="str">
        <f>IFERROR(__xludf.DUMMYFUNCTION("""COMPUTED_VALUE"""),"todo o ferramental do devops por trás disso [...] tipo, o ansible ou o terraform aqui, ou qualquer outras dessas que outros sabores de automatizadores e de deployment e coisa desse tipo que cê pode usar")</f>
        <v>todo o ferramental do devops por trás disso [...] tipo, o ansible ou o terraform aqui, ou qualquer outras dessas que outros sabores de automatizadores e de deployment e coisa desse tipo que cê pode usar</v>
      </c>
      <c r="G23" s="22" t="str">
        <f>if(QuotesCheckJudgeAbstract&lt;&gt;"",QuotesCheckJudgeAbstract,if(or(QuotesCheckJudge="",and(QuotesCheckJudge = "primeiro", QuotesCheckChallengeRecommendation1 &lt;&gt; "")), QuotesCheckAbstract1,if(and(QuotesCheckJudge = "segundo", QuotesCheckChallengeRecommendation2 &lt;&gt; ""), QuotesCheckAbstract2,"")))</f>
        <v>Ansible as deployment automation tools can be used in teaching DevOps.</v>
      </c>
    </row>
    <row r="24">
      <c r="A24" s="22">
        <f>IFERROR(__xludf.DUMMYFUNCTION("if(or(QuotesCheckJudge="""",and(QuotesCheckJudge = ""primeiro"", QuotesCheckChallengeRecommendation1 &lt;&gt; """"),and(QuotesCheckJudge = ""segundo"", QuotesCheckChallengeRecommendation2 &lt;&gt; """")), filter('Quotes-Check'!A24:D24, 'Quotes-Check'!A24:D24&lt;&gt;""glugl"&amp;"uieie""),"""")"),1.0)</f>
        <v>1</v>
      </c>
      <c r="B24" s="22">
        <f>IFERROR(__xludf.DUMMYFUNCTION("""COMPUTED_VALUE"""),10.0)</f>
        <v>10</v>
      </c>
      <c r="C24" s="12" t="str">
        <f>IFERROR(__xludf.DUMMYFUNCTION("""COMPUTED_VALUE"""),"R1 / R2")</f>
        <v>R1 / R2</v>
      </c>
      <c r="D24" s="22" t="str">
        <f>IFERROR(__xludf.DUMMYFUNCTION("""COMPUTED_VALUE"""),"Tool / Technology")</f>
        <v>Tool / Technology</v>
      </c>
      <c r="E24" s="46" t="str">
        <f>IFERROR(__xludf.DUMMYFUNCTION("if(or(QuotesCheckJudge="""",and(QuotesCheckJudge = ""primeiro"", QuotesCheckChallengeRecommendation1 &lt;&gt; """")), filter('Quotes-Check'!E24:F24, 'Quotes-Check'!E24:F24&lt;&gt;""glugluieie""),if(and(QuotesCheckJudge = ""segundo"", QuotesCheckChallengeRecommendatio"&amp;"n2 &lt;&gt; """"), filter('Quotes-Check'!I24:J24, 'Quotes-Check'!I24:J24&lt;&gt;""glugluieie""),""""))"),"recommendation")</f>
        <v>recommendation</v>
      </c>
      <c r="F24" s="22" t="str">
        <f>IFERROR(__xludf.DUMMYFUNCTION("""COMPUTED_VALUE"""),"todo o ferramental do devops por trás disso [...] tipo, o ansible ou o terraform aqui, ou qualquer outras dessas que outros sabores de automatizadores e de deployment e coisa desse tipo que cê pode usar")</f>
        <v>todo o ferramental do devops por trás disso [...] tipo, o ansible ou o terraform aqui, ou qualquer outras dessas que outros sabores de automatizadores e de deployment e coisa desse tipo que cê pode usar</v>
      </c>
      <c r="G24" s="22" t="str">
        <f>if(QuotesCheckJudgeAbstract&lt;&gt;"",QuotesCheckJudgeAbstract,if(or(QuotesCheckJudge="",and(QuotesCheckJudge = "primeiro", QuotesCheckChallengeRecommendation1 &lt;&gt; "")), QuotesCheckAbstract1,if(and(QuotesCheckJudge = "segundo", QuotesCheckChallengeRecommendation2 &lt;&gt; ""), QuotesCheckAbstract2,"")))</f>
        <v>Terraform as a deployment automation tool can be used to teach devops.</v>
      </c>
    </row>
    <row r="25">
      <c r="A25" s="22">
        <f>IFERROR(__xludf.DUMMYFUNCTION("if(or(QuotesCheckJudge="""",and(QuotesCheckJudge = ""primeiro"", QuotesCheckChallengeRecommendation1 &lt;&gt; """"),and(QuotesCheckJudge = ""segundo"", QuotesCheckChallengeRecommendation2 &lt;&gt; """")), filter('Quotes-Check'!A25:D25, 'Quotes-Check'!A25:D25&lt;&gt;""glugl"&amp;"uieie""),"""")"),1.0)</f>
        <v>1</v>
      </c>
      <c r="B25" s="22">
        <f>IFERROR(__xludf.DUMMYFUNCTION("""COMPUTED_VALUE"""),11.0)</f>
        <v>11</v>
      </c>
      <c r="C25" s="2" t="str">
        <f>IFERROR(__xludf.DUMMYFUNCTION("""COMPUTED_VALUE"""),"R2 / R3")</f>
        <v>R2 / R3</v>
      </c>
      <c r="D25" s="22" t="str">
        <f>IFERROR(__xludf.DUMMYFUNCTION("""COMPUTED_VALUE"""),"Pedagogy")</f>
        <v>Pedagogy</v>
      </c>
      <c r="E25" s="46" t="str">
        <f>IFERROR(__xludf.DUMMYFUNCTION("if(or(QuotesCheckJudge="""",and(QuotesCheckJudge = ""primeiro"", QuotesCheckChallengeRecommendation1 &lt;&gt; """")), filter('Quotes-Check'!E25:F25, 'Quotes-Check'!E25:F25&lt;&gt;""glugluieie""),if(and(QuotesCheckJudge = ""segundo"", QuotesCheckChallengeRecommendatio"&amp;"n2 &lt;&gt; """"), filter('Quotes-Check'!I25:J25, 'Quotes-Check'!I25:J25&lt;&gt;""glugluieie""),""""))"),"recommendation")</f>
        <v>recommendation</v>
      </c>
      <c r="F25" s="22" t="str">
        <f>IFERROR(__xludf.DUMMYFUNCTION("""COMPUTED_VALUE"""),"[...] pra mim a abordagem, do ponto de vista de método de ensino, seria realmente baseado em projetos e com atividades práticas ao longo da disciplina.")</f>
        <v>[...] pra mim a abordagem, do ponto de vista de método de ensino, seria realmente baseado em projetos e com atividades práticas ao longo da disciplina.</v>
      </c>
      <c r="G25" s="22" t="str">
        <f>if(QuotesCheckJudgeAbstract&lt;&gt;"",QuotesCheckJudgeAbstract,if(or(QuotesCheckJudge="",and(QuotesCheckJudge = "primeiro", QuotesCheckChallengeRecommendation1 &lt;&gt; "")), QuotesCheckAbstract1,if(and(QuotesCheckJudge = "segundo", QuotesCheckChallengeRecommendation2 &lt;&gt; ""), QuotesCheckAbstract2,"")))</f>
        <v>Incremental teaching method based on projects and practical activities.</v>
      </c>
    </row>
    <row r="26">
      <c r="A26" s="22">
        <f>IFERROR(__xludf.DUMMYFUNCTION("if(or(QuotesCheckJudge="""",and(QuotesCheckJudge = ""primeiro"", QuotesCheckChallengeRecommendation1 &lt;&gt; """"),and(QuotesCheckJudge = ""segundo"", QuotesCheckChallengeRecommendation2 &lt;&gt; """")), filter('Quotes-Check'!A26:D26, 'Quotes-Check'!A26:D26&lt;&gt;""glugl"&amp;"uieie""),"""")"),1.0)</f>
        <v>1</v>
      </c>
      <c r="B26" s="22">
        <f>IFERROR(__xludf.DUMMYFUNCTION("""COMPUTED_VALUE"""),12.0)</f>
        <v>12</v>
      </c>
      <c r="C26" s="2" t="str">
        <f>IFERROR(__xludf.DUMMYFUNCTION("""COMPUTED_VALUE"""),"R1 / R3")</f>
        <v>R1 / R3</v>
      </c>
      <c r="D26" s="22" t="str">
        <f>IFERROR(__xludf.DUMMYFUNCTION("""COMPUTED_VALUE"""),"Class Preparation")</f>
        <v>Class Preparation</v>
      </c>
      <c r="E26" s="46" t="str">
        <f>IFERROR(__xludf.DUMMYFUNCTION("if(or(QuotesCheckJudge="""",and(QuotesCheckJudge = ""primeiro"", QuotesCheckChallengeRecommendation1 &lt;&gt; """")), filter('Quotes-Check'!E26:F26, 'Quotes-Check'!E26:F26&lt;&gt;""glugluieie""),if(and(QuotesCheckJudge = ""segundo"", QuotesCheckChallengeRecommendatio"&amp;"n2 &lt;&gt; """"), filter('Quotes-Check'!I26:J26, 'Quotes-Check'!I26:J26&lt;&gt;""glugluieie""),""""))"),"recommendation")</f>
        <v>recommendation</v>
      </c>
      <c r="F26" s="22" t="str">
        <f>IFERROR(__xludf.DUMMYFUNCTION("""COMPUTED_VALUE"""),"A disciplina prática ela ter um equilíbrio entre conceito e prática, sendo que a prática é o mais importante")</f>
        <v>A disciplina prática ela ter um equilíbrio entre conceito e prática, sendo que a prática é o mais importante</v>
      </c>
      <c r="G26" s="22" t="str">
        <f>if(QuotesCheckJudgeAbstract&lt;&gt;"",QuotesCheckJudgeAbstract,if(or(QuotesCheckJudge="",and(QuotesCheckJudge = "primeiro", QuotesCheckChallengeRecommendation1 &lt;&gt; "")), QuotesCheckAbstract1,if(and(QuotesCheckJudge = "segundo", QuotesCheckChallengeRecommendation2 &lt;&gt; ""), QuotesCheckAbstract2,"")))</f>
        <v>Balance the presentation of the concepts and the practicals.</v>
      </c>
    </row>
    <row r="27">
      <c r="A27" s="22">
        <f>IFERROR(__xludf.DUMMYFUNCTION("if(or(QuotesCheckJudge="""",and(QuotesCheckJudge = ""primeiro"", QuotesCheckChallengeRecommendation1 &lt;&gt; """"),and(QuotesCheckJudge = ""segundo"", QuotesCheckChallengeRecommendation2 &lt;&gt; """")), filter('Quotes-Check'!A27:D27, 'Quotes-Check'!A27:D27&lt;&gt;""glugl"&amp;"uieie""),"""")"),1.0)</f>
        <v>1</v>
      </c>
      <c r="B27" s="22">
        <f>IFERROR(__xludf.DUMMYFUNCTION("""COMPUTED_VALUE"""),12.0)</f>
        <v>12</v>
      </c>
      <c r="C27" s="2" t="str">
        <f>IFERROR(__xludf.DUMMYFUNCTION("""COMPUTED_VALUE"""),"R1 / R3")</f>
        <v>R1 / R3</v>
      </c>
      <c r="D27" s="22" t="str">
        <f>IFERROR(__xludf.DUMMYFUNCTION("""COMPUTED_VALUE"""),"Class Preparation")</f>
        <v>Class Preparation</v>
      </c>
      <c r="E27" s="46" t="str">
        <f>IFERROR(__xludf.DUMMYFUNCTION("if(or(QuotesCheckJudge="""",and(QuotesCheckJudge = ""primeiro"", QuotesCheckChallengeRecommendation1 &lt;&gt; """")), filter('Quotes-Check'!E27:F27, 'Quotes-Check'!E27:F27&lt;&gt;""glugluieie""),if(and(QuotesCheckJudge = ""segundo"", QuotesCheckChallengeRecommendatio"&amp;"n2 &lt;&gt; """"), filter('Quotes-Check'!I27:J27, 'Quotes-Check'!I27:J27&lt;&gt;""glugluieie""),""""))"),"recommendation")</f>
        <v>recommendation</v>
      </c>
      <c r="F27" s="22" t="str">
        <f>IFERROR(__xludf.DUMMYFUNCTION("""COMPUTED_VALUE"""),"os conceitos, eles precisam ser objetivamente apresentados, mas que não tem muita discussão sobre")</f>
        <v>os conceitos, eles precisam ser objetivamente apresentados, mas que não tem muita discussão sobre</v>
      </c>
      <c r="G27" s="22" t="str">
        <f>if(QuotesCheckJudgeAbstract&lt;&gt;"",QuotesCheckJudgeAbstract,if(or(QuotesCheckJudge="",and(QuotesCheckJudge = "primeiro", QuotesCheckChallengeRecommendation1 &lt;&gt; "")), QuotesCheckAbstract1,if(and(QuotesCheckJudge = "segundo", QuotesCheckChallengeRecommendation2 &lt;&gt; ""), QuotesCheckAbstract2,"")))</f>
        <v>Do not delve so deeply into discussions about the theoretical part of devops.</v>
      </c>
    </row>
    <row r="28">
      <c r="A28" s="22">
        <f>IFERROR(__xludf.DUMMYFUNCTION("if(or(QuotesCheckJudge="""",and(QuotesCheckJudge = ""primeiro"", QuotesCheckChallengeRecommendation1 &lt;&gt; """"),and(QuotesCheckJudge = ""segundo"", QuotesCheckChallengeRecommendation2 &lt;&gt; """")), filter('Quotes-Check'!A28:D28, 'Quotes-Check'!A28:D28&lt;&gt;""glugl"&amp;"uieie""),"""")"),1.0)</f>
        <v>1</v>
      </c>
      <c r="B28" s="2">
        <f>IFERROR(__xludf.DUMMYFUNCTION("""COMPUTED_VALUE"""),12.0)</f>
        <v>12</v>
      </c>
      <c r="C28" s="2" t="str">
        <f>IFERROR(__xludf.DUMMYFUNCTION("""COMPUTED_VALUE"""),"R1 / R3")</f>
        <v>R1 / R3</v>
      </c>
      <c r="D28" s="2" t="str">
        <f>IFERROR(__xludf.DUMMYFUNCTION("""COMPUTED_VALUE"""),"Class Preparation")</f>
        <v>Class Preparation</v>
      </c>
      <c r="E28" s="46" t="str">
        <f>IFERROR(__xludf.DUMMYFUNCTION("if(or(QuotesCheckJudge="""",and(QuotesCheckJudge = ""primeiro"", QuotesCheckChallengeRecommendation1 &lt;&gt; """")), filter('Quotes-Check'!E28:F28, 'Quotes-Check'!E28:F28&lt;&gt;""glugluieie""),if(and(QuotesCheckJudge = ""segundo"", QuotesCheckChallengeRecommendatio"&amp;"n2 &lt;&gt; """"), filter('Quotes-Check'!I28:J28, 'Quotes-Check'!I28:J28&lt;&gt;""glugluieie""),""""))"),"recommendation")</f>
        <v>recommendation</v>
      </c>
      <c r="F28" s="22" t="str">
        <f>IFERROR(__xludf.DUMMYFUNCTION("""COMPUTED_VALUE"""),"a prática que deve ocupar ali oitenta por cento da aula, pelo menos")</f>
        <v>a prática que deve ocupar ali oitenta por cento da aula, pelo menos</v>
      </c>
      <c r="G28" s="22" t="str">
        <f>if(QuotesCheckJudgeAbstract&lt;&gt;"",QuotesCheckJudgeAbstract,if(or(QuotesCheckJudge="",and(QuotesCheckJudge = "primeiro", QuotesCheckChallengeRecommendation1 &lt;&gt; "")), QuotesCheckAbstract1,if(and(QuotesCheckJudge = "segundo", QuotesCheckChallengeRecommendation2 &lt;&gt; ""), QuotesCheckAbstract2,"")))</f>
        <v>The practical part must occupy at least 80% of the class.</v>
      </c>
    </row>
    <row r="29">
      <c r="A29" s="22">
        <f>IFERROR(__xludf.DUMMYFUNCTION("if(or(QuotesCheckJudge="""",and(QuotesCheckJudge = ""primeiro"", QuotesCheckChallengeRecommendation1 &lt;&gt; """"),and(QuotesCheckJudge = ""segundo"", QuotesCheckChallengeRecommendation2 &lt;&gt; """")), filter('Quotes-Check'!A29:D29, 'Quotes-Check'!A29:D29&lt;&gt;""glugl"&amp;"uieie""),"""")"),1.0)</f>
        <v>1</v>
      </c>
      <c r="B29" s="22">
        <f>IFERROR(__xludf.DUMMYFUNCTION("""COMPUTED_VALUE"""),13.0)</f>
        <v>13</v>
      </c>
      <c r="C29" s="12" t="str">
        <f>IFERROR(__xludf.DUMMYFUNCTION("""COMPUTED_VALUE"""),"R1 / R2")</f>
        <v>R1 / R2</v>
      </c>
      <c r="D29" s="22" t="str">
        <f>IFERROR(__xludf.DUMMYFUNCTION("""COMPUTED_VALUE"""),"Curriculum")</f>
        <v>Curriculum</v>
      </c>
      <c r="E29" s="46" t="str">
        <f>IFERROR(__xludf.DUMMYFUNCTION("if(or(QuotesCheckJudge="""",and(QuotesCheckJudge = ""primeiro"", QuotesCheckChallengeRecommendation1 &lt;&gt; """")), filter('Quotes-Check'!E29:F29, 'Quotes-Check'!E29:F29&lt;&gt;""glugluieie""),if(and(QuotesCheckJudge = ""segundo"", QuotesCheckChallengeRecommendatio"&amp;"n2 &lt;&gt; """"), filter('Quotes-Check'!I29:J29, 'Quotes-Check'!I29:J29&lt;&gt;""glugluieie""),""""))"),"challenge")</f>
        <v>challenge</v>
      </c>
      <c r="F29" s="22" t="str">
        <f>IFERROR(__xludf.DUMMYFUNCTION("""COMPUTED_VALUE""")," A gente quer, às vezes, ensinar tudo e a gente não tem tempo infinito[...] fazer caber o conhecimento de DevOps, que é um conhecimento bem amplo e que envolve, pelo menos, duas áreas distintas[...]")</f>
        <v> A gente quer, às vezes, ensinar tudo e a gente não tem tempo infinito[...] fazer caber o conhecimento de DevOps, que é um conhecimento bem amplo e que envolve, pelo menos, duas áreas distintas[...]</v>
      </c>
      <c r="G29" s="22" t="str">
        <f>if(QuotesCheckJudgeAbstract&lt;&gt;"",QuotesCheckJudgeAbstract,if(or(QuotesCheckJudge="",and(QuotesCheckJudge = "primeiro", QuotesCheckChallengeRecommendation1 &lt;&gt; "")), QuotesCheckAbstract1,if(and(QuotesCheckJudge = "segundo", QuotesCheckChallengeRecommendation2 &lt;&gt; ""), QuotesCheckAbstract2,"")))</f>
        <v>Insufficient time to address extensive DevOps knowledge in a limited-hour curriculum.</v>
      </c>
    </row>
    <row r="30">
      <c r="A30" s="22">
        <f>IFERROR(__xludf.DUMMYFUNCTION("if(or(QuotesCheckJudge="""",and(QuotesCheckJudge = ""primeiro"", QuotesCheckChallengeRecommendation1 &lt;&gt; """"),and(QuotesCheckJudge = ""segundo"", QuotesCheckChallengeRecommendation2 &lt;&gt; """")), filter('Quotes-Check'!A30:D30, 'Quotes-Check'!A30:D30&lt;&gt;""glugl"&amp;"uieie""),"""")"),1.0)</f>
        <v>1</v>
      </c>
      <c r="B30" s="22">
        <f>IFERROR(__xludf.DUMMYFUNCTION("""COMPUTED_VALUE"""),14.0)</f>
        <v>14</v>
      </c>
      <c r="C30" s="2" t="str">
        <f>IFERROR(__xludf.DUMMYFUNCTION("""COMPUTED_VALUE"""),"R2 / R3")</f>
        <v>R2 / R3</v>
      </c>
      <c r="D30" s="22" t="str">
        <f>IFERROR(__xludf.DUMMYFUNCTION("""COMPUTED_VALUE"""),"Curriculum")</f>
        <v>Curriculum</v>
      </c>
      <c r="E30" s="46" t="str">
        <f>IFERROR(__xludf.DUMMYFUNCTION("if(or(QuotesCheckJudge="""",and(QuotesCheckJudge = ""primeiro"", QuotesCheckChallengeRecommendation1 &lt;&gt; """")), filter('Quotes-Check'!E30:F30, 'Quotes-Check'!E30:F30&lt;&gt;""glugluieie""),if(and(QuotesCheckJudge = ""segundo"", QuotesCheckChallengeRecommendatio"&amp;"n2 &lt;&gt; """"), filter('Quotes-Check'!I30:J30, 'Quotes-Check'!I30:J30&lt;&gt;""glugluieie""),""""))"),"challenge")</f>
        <v>challenge</v>
      </c>
      <c r="F30" s="22" t="str">
        <f>IFERROR(__xludf.DUMMYFUNCTION("""COMPUTED_VALUE"""),"[...]fazer caber foi mais difícil porque às vezes o conteúdo é muito extenso e o tempo é limitado.")</f>
        <v>[...]fazer caber foi mais difícil porque às vezes o conteúdo é muito extenso e o tempo é limitado.</v>
      </c>
      <c r="G30" s="22" t="str">
        <f>if(QuotesCheckJudgeAbstract&lt;&gt;"",QuotesCheckJudgeAbstract,if(or(QuotesCheckJudge="",and(QuotesCheckJudge = "primeiro", QuotesCheckChallengeRecommendation1 &lt;&gt; "")), QuotesCheckAbstract1,if(and(QuotesCheckJudge = "segundo", QuotesCheckChallengeRecommendation2 &lt;&gt; ""), QuotesCheckAbstract2,"")))</f>
        <v>Insufficient time to address extensive DevOps knowledge in a limited-hour curriculum.</v>
      </c>
    </row>
    <row r="31">
      <c r="A31" s="22">
        <f>IFERROR(__xludf.DUMMYFUNCTION("if(or(QuotesCheckJudge="""",and(QuotesCheckJudge = ""primeiro"", QuotesCheckChallengeRecommendation1 &lt;&gt; """"),and(QuotesCheckJudge = ""segundo"", QuotesCheckChallengeRecommendation2 &lt;&gt; """")), filter('Quotes-Check'!A31:D31, 'Quotes-Check'!A31:D31&lt;&gt;""glugl"&amp;"uieie""),"""")"),1.0)</f>
        <v>1</v>
      </c>
      <c r="B31" s="22">
        <f>IFERROR(__xludf.DUMMYFUNCTION("""COMPUTED_VALUE"""),15.0)</f>
        <v>15</v>
      </c>
      <c r="C31" s="2" t="str">
        <f>IFERROR(__xludf.DUMMYFUNCTION("""COMPUTED_VALUE"""),"R1 / R3")</f>
        <v>R1 / R3</v>
      </c>
      <c r="D31" s="22" t="str">
        <f>IFERROR(__xludf.DUMMYFUNCTION("""COMPUTED_VALUE"""),"Curriculum")</f>
        <v>Curriculum</v>
      </c>
      <c r="E31" s="46" t="str">
        <f>IFERROR(__xludf.DUMMYFUNCTION("if(or(QuotesCheckJudge="""",and(QuotesCheckJudge = ""primeiro"", QuotesCheckChallengeRecommendation1 &lt;&gt; """")), filter('Quotes-Check'!E31:F31, 'Quotes-Check'!E31:F31&lt;&gt;""glugluieie""),if(and(QuotesCheckJudge = ""segundo"", QuotesCheckChallengeRecommendatio"&amp;"n2 &lt;&gt; """"), filter('Quotes-Check'!I31:J31, 'Quotes-Check'!I31:J31&lt;&gt;""glugluieie""),""""))"),"recommendation")</f>
        <v>recommendation</v>
      </c>
      <c r="F31" s="22" t="str">
        <f>IFERROR(__xludf.DUMMYFUNCTION("""COMPUTED_VALUE"""),"a estratégia que a gente usou, foi dividir pela metade mesmo, dividir pela metade a carga horária [...] e ocupar metade dessa carga horária com conteúdos que tenham aptidão mais pra a área de redes [...] E metade dessa com a com conteúdos que tem mais apt"&amp;"idão pra área de programação.")</f>
        <v>a estratégia que a gente usou, foi dividir pela metade mesmo, dividir pela metade a carga horária [...] e ocupar metade dessa carga horária com conteúdos que tenham aptidão mais pra a área de redes [...] E metade dessa com a com conteúdos que tem mais aptidão pra área de programação.</v>
      </c>
      <c r="G31" s="22" t="str">
        <f>if(QuotesCheckJudgeAbstract&lt;&gt;"",QuotesCheckJudgeAbstract,if(or(QuotesCheckJudge="",and(QuotesCheckJudge = "primeiro", QuotesCheckChallengeRecommendation1 &lt;&gt; "")), QuotesCheckAbstract1,if(and(QuotesCheckJudge = "segundo", QuotesCheckChallengeRecommendation2 &lt;&gt; ""), QuotesCheckAbstract2,"")))</f>
        <v>Divide the workload of subjects that are related to networking and programming.</v>
      </c>
    </row>
    <row r="32">
      <c r="A32" s="22">
        <f>IFERROR(__xludf.DUMMYFUNCTION("if(or(QuotesCheckJudge="""",and(QuotesCheckJudge = ""primeiro"", QuotesCheckChallengeRecommendation1 &lt;&gt; """"),and(QuotesCheckJudge = ""segundo"", QuotesCheckChallengeRecommendation2 &lt;&gt; """")), filter('Quotes-Check'!A32:D32, 'Quotes-Check'!A32:D32&lt;&gt;""glugl"&amp;"uieie""),"""")"),1.0)</f>
        <v>1</v>
      </c>
      <c r="B32" s="2">
        <f>IFERROR(__xludf.DUMMYFUNCTION("""COMPUTED_VALUE"""),16.0)</f>
        <v>16</v>
      </c>
      <c r="C32" s="2" t="str">
        <f>IFERROR(__xludf.DUMMYFUNCTION("""COMPUTED_VALUE"""),"R1 / R2")</f>
        <v>R1 / R2</v>
      </c>
      <c r="D32" s="2" t="str">
        <f>IFERROR(__xludf.DUMMYFUNCTION("""COMPUTED_VALUE"""),"Environment Setup")</f>
        <v>Environment Setup</v>
      </c>
      <c r="E32" s="46" t="str">
        <f>IFERROR(__xludf.DUMMYFUNCTION("if(or(QuotesCheckJudge="""",and(QuotesCheckJudge = ""primeiro"", QuotesCheckChallengeRecommendation1 &lt;&gt; """")), filter('Quotes-Check'!E32:F32, 'Quotes-Check'!E32:F32&lt;&gt;""glugluieie""),if(and(QuotesCheckJudge = ""segundo"", QuotesCheckChallengeRecommendatio"&amp;"n2 &lt;&gt; """"), filter('Quotes-Check'!I32:J32, 'Quotes-Check'!I32:J32&lt;&gt;""glugluieie""),""""))"),"challenge")</f>
        <v>challenge</v>
      </c>
      <c r="F32" s="22" t="str">
        <f>IFERROR(__xludf.DUMMYFUNCTION("""COMPUTED_VALUE"""),"não consegui montar um ambiente de devops por [...] restrições [...] de autorização [...] da reitoria")</f>
        <v>não consegui montar um ambiente de devops por [...] restrições [...] de autorização [...] da reitoria</v>
      </c>
      <c r="G32"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in getting authorization and lab resources from the institution to install tools in order to setup a DevOps environment.</v>
      </c>
    </row>
    <row r="33">
      <c r="A33" s="22">
        <f>IFERROR(__xludf.DUMMYFUNCTION("if(or(QuotesCheckJudge="""",and(QuotesCheckJudge = ""primeiro"", QuotesCheckChallengeRecommendation1 &lt;&gt; """"),and(QuotesCheckJudge = ""segundo"", QuotesCheckChallengeRecommendation2 &lt;&gt; """")), filter('Quotes-Check'!A33:D33, 'Quotes-Check'!A33:D33&lt;&gt;""glugl"&amp;"uieie""),"""")"),1.0)</f>
        <v>1</v>
      </c>
      <c r="B33" s="22">
        <f>IFERROR(__xludf.DUMMYFUNCTION("""COMPUTED_VALUE"""),16.0)</f>
        <v>16</v>
      </c>
      <c r="C33" s="2" t="str">
        <f>IFERROR(__xludf.DUMMYFUNCTION("""COMPUTED_VALUE"""),"R1 / R2")</f>
        <v>R1 / R2</v>
      </c>
      <c r="D33" s="22" t="str">
        <f>IFERROR(__xludf.DUMMYFUNCTION("""COMPUTED_VALUE"""),"Environment Setup")</f>
        <v>Environment Setup</v>
      </c>
      <c r="E33" s="46" t="str">
        <f>IFERROR(__xludf.DUMMYFUNCTION("if(or(QuotesCheckJudge="""",and(QuotesCheckJudge = ""primeiro"", QuotesCheckChallengeRecommendation1 &lt;&gt; """")), filter('Quotes-Check'!E33:F33, 'Quotes-Check'!E33:F33&lt;&gt;""glugluieie""),if(and(QuotesCheckJudge = ""segundo"", QuotesCheckChallengeRecommendatio"&amp;"n2 &lt;&gt; """"), filter('Quotes-Check'!I33:J33, 'Quotes-Check'!I33:J33&lt;&gt;""glugluieie""),""""))"),"recommendation")</f>
        <v>recommendation</v>
      </c>
      <c r="F33" s="22" t="str">
        <f>IFERROR(__xludf.DUMMYFUNCTION("""COMPUTED_VALUE"""),"[...]eu tive que delegar essa responsabilidade para o aluno.")</f>
        <v>[...]eu tive que delegar essa responsabilidade para o aluno.</v>
      </c>
      <c r="G33" s="22" t="str">
        <f>if(QuotesCheckJudgeAbstract&lt;&gt;"",QuotesCheckJudgeAbstract,if(or(QuotesCheckJudge="",and(QuotesCheckJudge = "primeiro", QuotesCheckChallengeRecommendation1 &lt;&gt; "")), QuotesCheckAbstract1,if(and(QuotesCheckJudge = "segundo", QuotesCheckChallengeRecommendation2 &lt;&gt; ""), QuotesCheckAbstract2,"")))</f>
        <v>Delegate responsibility to the student.</v>
      </c>
    </row>
    <row r="34">
      <c r="A34" s="22">
        <f>IFERROR(__xludf.DUMMYFUNCTION("if(or(QuotesCheckJudge="""",and(QuotesCheckJudge = ""primeiro"", QuotesCheckChallengeRecommendation1 &lt;&gt; """"),and(QuotesCheckJudge = ""segundo"", QuotesCheckChallengeRecommendation2 &lt;&gt; """")), filter('Quotes-Check'!A34:D34, 'Quotes-Check'!A34:D34&lt;&gt;""glugl"&amp;"uieie""),"""")"),1.0)</f>
        <v>1</v>
      </c>
      <c r="B34" s="2">
        <f>IFERROR(__xludf.DUMMYFUNCTION("""COMPUTED_VALUE"""),16.0)</f>
        <v>16</v>
      </c>
      <c r="C34" s="2" t="str">
        <f>IFERROR(__xludf.DUMMYFUNCTION("""COMPUTED_VALUE"""),"R1 / R2")</f>
        <v>R1 / R2</v>
      </c>
      <c r="D34" s="2" t="str">
        <f>IFERROR(__xludf.DUMMYFUNCTION("""COMPUTED_VALUE"""),"Environment Setup")</f>
        <v>Environment Setup</v>
      </c>
      <c r="E34" s="46" t="str">
        <f>IFERROR(__xludf.DUMMYFUNCTION("if(or(QuotesCheckJudge="""",and(QuotesCheckJudge = ""primeiro"", QuotesCheckChallengeRecommendation1 &lt;&gt; """")), filter('Quotes-Check'!E34:F34, 'Quotes-Check'!E34:F34&lt;&gt;""glugluieie""),if(and(QuotesCheckJudge = ""segundo"", QuotesCheckChallengeRecommendatio"&amp;"n2 &lt;&gt; """"), filter('Quotes-Check'!I34:J34, 'Quotes-Check'!I34:J34&lt;&gt;""glugluieie""),""""))"),"challenge")</f>
        <v>challenge</v>
      </c>
      <c r="F34" s="22" t="str">
        <f>IFERROR(__xludf.DUMMYFUNCTION("""COMPUTED_VALUE"""),"não existia aí uma ferramenta de de configuração de ambiente [...] ou de automatizado desses ambientes [..] uma vez que passou a ser manual")</f>
        <v>não existia aí uma ferramenta de de configuração de ambiente [...] ou de automatizado desses ambientes [..] uma vez que passou a ser manual</v>
      </c>
      <c r="G34" s="22" t="str">
        <f>if(QuotesCheckJudgeAbstract&lt;&gt;"",QuotesCheckJudgeAbstract,if(or(QuotesCheckJudge="",and(QuotesCheckJudge = "primeiro", QuotesCheckChallengeRecommendation1 &lt;&gt; "")), QuotesCheckAbstract1,if(and(QuotesCheckJudge = "segundo", QuotesCheckChallengeRecommendation2 &lt;&gt; ""), QuotesCheckAbstract2,"")))</f>
        <v>There was no automated environment setup tool to support the student.</v>
      </c>
    </row>
    <row r="35">
      <c r="A35" s="22">
        <f>IFERROR(__xludf.DUMMYFUNCTION("if(or(QuotesCheckJudge="""",and(QuotesCheckJudge = ""primeiro"", QuotesCheckChallengeRecommendation1 &lt;&gt; """"),and(QuotesCheckJudge = ""segundo"", QuotesCheckChallengeRecommendation2 &lt;&gt; """")), filter('Quotes-Check'!A35:D35, 'Quotes-Check'!A35:D35&lt;&gt;""glugl"&amp;"uieie""),"""")"),1.0)</f>
        <v>1</v>
      </c>
      <c r="B35" s="22">
        <f>IFERROR(__xludf.DUMMYFUNCTION("""COMPUTED_VALUE"""),16.0)</f>
        <v>16</v>
      </c>
      <c r="C35" s="12" t="str">
        <f>IFERROR(__xludf.DUMMYFUNCTION("""COMPUTED_VALUE"""),"R1 / R2")</f>
        <v>R1 / R2</v>
      </c>
      <c r="D35" s="22" t="str">
        <f>IFERROR(__xludf.DUMMYFUNCTION("""COMPUTED_VALUE"""),"Environment Setup")</f>
        <v>Environment Setup</v>
      </c>
      <c r="E35" s="46" t="str">
        <f>IFERROR(__xludf.DUMMYFUNCTION("if(or(QuotesCheckJudge="""",and(QuotesCheckJudge = ""primeiro"", QuotesCheckChallengeRecommendation1 &lt;&gt; """")), filter('Quotes-Check'!E35:F35, 'Quotes-Check'!E35:F35&lt;&gt;""glugluieie""),if(and(QuotesCheckJudge = ""segundo"", QuotesCheckChallengeRecommendatio"&amp;"n2 &lt;&gt; """"), filter('Quotes-Check'!I35:J35, 'Quotes-Check'!I35:J35&lt;&gt;""glugluieie""),""""))"),"challenge")</f>
        <v>challenge</v>
      </c>
      <c r="F35" s="22" t="str">
        <f>IFERROR(__xludf.DUMMYFUNCTION("""COMPUTED_VALUE"""),"não existia [...] um conjunto [...] de roteiros que o aluno deveria configurar ele mesmo esse ambiente, instalar ele mesmo a ferramenta [...] seja [...] os servidores que ele precisasse")</f>
        <v>não existia [...] um conjunto [...] de roteiros que o aluno deveria configurar ele mesmo esse ambiente, instalar ele mesmo a ferramenta [...] seja [...] os servidores que ele precisasse</v>
      </c>
      <c r="G35" s="22" t="str">
        <f>if(QuotesCheckJudgeAbstract&lt;&gt;"",QuotesCheckJudgeAbstract,if(or(QuotesCheckJudge="",and(QuotesCheckJudge = "primeiro", QuotesCheckChallengeRecommendation1 &lt;&gt; "")), QuotesCheckAbstract1,if(and(QuotesCheckJudge = "segundo", QuotesCheckChallengeRecommendation2 &lt;&gt; ""), QuotesCheckAbstract2,"")))</f>
        <v>There was no script for the student on how to install the tools used during the course.</v>
      </c>
    </row>
    <row r="36">
      <c r="A36" s="22">
        <f>IFERROR(__xludf.DUMMYFUNCTION("if(or(QuotesCheckJudge="""",and(QuotesCheckJudge = ""primeiro"", QuotesCheckChallengeRecommendation1 &lt;&gt; """"),and(QuotesCheckJudge = ""segundo"", QuotesCheckChallengeRecommendation2 &lt;&gt; """")), filter('Quotes-Check'!A36:D36, 'Quotes-Check'!A36:D36&lt;&gt;""glugl"&amp;"uieie""),"""")"),1.0)</f>
        <v>1</v>
      </c>
      <c r="B36" s="2">
        <f>IFERROR(__xludf.DUMMYFUNCTION("""COMPUTED_VALUE"""),17.0)</f>
        <v>17</v>
      </c>
      <c r="C36" s="2" t="str">
        <f>IFERROR(__xludf.DUMMYFUNCTION("""COMPUTED_VALUE"""),"R2 / R3")</f>
        <v>R2 / R3</v>
      </c>
      <c r="D36" s="2" t="str">
        <f>IFERROR(__xludf.DUMMYFUNCTION("""COMPUTED_VALUE"""),"Environment Setup")</f>
        <v>Environment Setup</v>
      </c>
      <c r="E36" s="46" t="str">
        <f>IFERROR(__xludf.DUMMYFUNCTION("if(or(QuotesCheckJudge="""",and(QuotesCheckJudge = ""primeiro"", QuotesCheckChallengeRecommendation1 &lt;&gt; """")), filter('Quotes-Check'!E36:F36, 'Quotes-Check'!E36:F36&lt;&gt;""glugluieie""),if(and(QuotesCheckJudge = ""segundo"", QuotesCheckChallengeRecommendatio"&amp;"n2 &lt;&gt; """"), filter('Quotes-Check'!I36:J36, 'Quotes-Check'!I36:J36&lt;&gt;""glugluieie""),""""))"),"challenge")</f>
        <v>challenge</v>
      </c>
      <c r="F36" s="22" t="str">
        <f>IFERROR(__xludf.DUMMYFUNCTION("""COMPUTED_VALUE"""),"Tive dificuldade de montar a infraestrutura.")</f>
        <v>Tive dificuldade de montar a infraestrutura.</v>
      </c>
      <c r="G36"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in setting up the infrastructure.</v>
      </c>
    </row>
    <row r="37">
      <c r="A37" s="22">
        <f>IFERROR(__xludf.DUMMYFUNCTION("if(or(QuotesCheckJudge="""",and(QuotesCheckJudge = ""primeiro"", QuotesCheckChallengeRecommendation1 &lt;&gt; """"),and(QuotesCheckJudge = ""segundo"", QuotesCheckChallengeRecommendation2 &lt;&gt; """")), filter('Quotes-Check'!A37:D37, 'Quotes-Check'!A37:D37&lt;&gt;""glugl"&amp;"uieie""),"""")"),2.0)</f>
        <v>2</v>
      </c>
      <c r="B37" s="2">
        <f>IFERROR(__xludf.DUMMYFUNCTION("""COMPUTED_VALUE"""),1.0)</f>
        <v>1</v>
      </c>
      <c r="C37" s="2" t="str">
        <f>IFERROR(__xludf.DUMMYFUNCTION("""COMPUTED_VALUE"""),"R1 / R2")</f>
        <v>R1 / R2</v>
      </c>
      <c r="D37" s="2" t="str">
        <f>IFERROR(__xludf.DUMMYFUNCTION("""COMPUTED_VALUE"""),"DevOps Concepts")</f>
        <v>DevOps Concepts</v>
      </c>
      <c r="E37" s="46" t="str">
        <f>IFERROR(__xludf.DUMMYFUNCTION("if(or(QuotesCheckJudge="""",and(QuotesCheckJudge = ""primeiro"", QuotesCheckChallengeRecommendation1 &lt;&gt; """")), filter('Quotes-Check'!E37:F37, 'Quotes-Check'!E37:F37&lt;&gt;""glugluieie""),if(and(QuotesCheckJudge = ""segundo"", QuotesCheckChallengeRecommendatio"&amp;"n2 &lt;&gt; """"), filter('Quotes-Check'!I37:J37, 'Quotes-Check'!I37:J37&lt;&gt;""glugluieie""),""""))"),"recommendation")</f>
        <v>recommendation</v>
      </c>
      <c r="F37" s="22" t="str">
        <f>IFERROR(__xludf.DUMMYFUNCTION("""COMPUTED_VALUE"""),"[...] eu gosto muito de basear num livro texto, porque acho que fica bem claro para os alunos uma sequência, né? A gente pode até escolher alguns capítulos, até fazendo uma parte importante assim de um material desses [...]  a gente pesquisa várias coisas"&amp;"  pra montar a nossa aula, mas ter ali uma espinha dorsal formada por uma literatura, eu acho sempre importante. ")</f>
        <v>[...] eu gosto muito de basear num livro texto, porque acho que fica bem claro para os alunos uma sequência, né? A gente pode até escolher alguns capítulos, até fazendo uma parte importante assim de um material desses [...]  a gente pesquisa várias coisas  pra montar a nossa aula, mas ter ali uma espinha dorsal formada por uma literatura, eu acho sempre importante. </v>
      </c>
      <c r="G37" s="22" t="str">
        <f>if(QuotesCheckJudgeAbstract&lt;&gt;"",QuotesCheckJudgeAbstract,if(or(QuotesCheckJudge="",and(QuotesCheckJudge = "primeiro", QuotesCheckChallengeRecommendation1 &lt;&gt; "")), QuotesCheckAbstract1,if(and(QuotesCheckJudge = "segundo", QuotesCheckChallengeRecommendation2 &lt;&gt; ""), QuotesCheckAbstract2,"")))</f>
        <v>Using a textbook as a basis and to give students a better idea of the sequence of the course contents.</v>
      </c>
    </row>
    <row r="38">
      <c r="A38" s="22">
        <f>IFERROR(__xludf.DUMMYFUNCTION("if(or(QuotesCheckJudge="""",and(QuotesCheckJudge = ""primeiro"", QuotesCheckChallengeRecommendation1 &lt;&gt; """"),and(QuotesCheckJudge = ""segundo"", QuotesCheckChallengeRecommendation2 &lt;&gt; """")), filter('Quotes-Check'!A38:D38, 'Quotes-Check'!A38:D38&lt;&gt;""glugl"&amp;"uieie""),"""")"),2.0)</f>
        <v>2</v>
      </c>
      <c r="B38" s="22">
        <f>IFERROR(__xludf.DUMMYFUNCTION("""COMPUTED_VALUE"""),1.0)</f>
        <v>1</v>
      </c>
      <c r="C38" s="12" t="str">
        <f>IFERROR(__xludf.DUMMYFUNCTION("""COMPUTED_VALUE"""),"R1 / R2")</f>
        <v>R1 / R2</v>
      </c>
      <c r="D38" s="22" t="str">
        <f>IFERROR(__xludf.DUMMYFUNCTION("""COMPUTED_VALUE"""),"DevOps Concepts")</f>
        <v>DevOps Concepts</v>
      </c>
      <c r="E38" s="46" t="str">
        <f>IFERROR(__xludf.DUMMYFUNCTION("if(or(QuotesCheckJudge="""",and(QuotesCheckJudge = ""primeiro"", QuotesCheckChallengeRecommendation1 &lt;&gt; """")), filter('Quotes-Check'!E38:F38, 'Quotes-Check'!E38:F38&lt;&gt;""glugluieie""),if(and(QuotesCheckJudge = ""segundo"", QuotesCheckChallengeRecommendatio"&amp;"n2 &lt;&gt; """"), filter('Quotes-Check'!I38:J38, 'Quotes-Check'!I38:J38&lt;&gt;""glugluieie""),""""))"),"challenge")</f>
        <v>challenge</v>
      </c>
      <c r="F38" s="22" t="str">
        <f>IFERROR(__xludf.DUMMYFUNCTION("""COMPUTED_VALUE"""),"Não há uma literatura dessa na área de sistemas corporativos, aí acaba que a gente realmente faz uma reunião de diversos vídeos, mas não tem um assim que a gente use como foco, como sendo essa espinha dorsal. Eu particularmente tenho essa abordagem [...] "&amp;"eu queria muito que tivesse uma literatura nesse nível [...]")</f>
        <v>Não há uma literatura dessa na área de sistemas corporativos, aí acaba que a gente realmente faz uma reunião de diversos vídeos, mas não tem um assim que a gente use como foco, como sendo essa espinha dorsal. Eu particularmente tenho essa abordagem [...] eu queria muito que tivesse uma literatura nesse nível [...]</v>
      </c>
      <c r="G38" s="22" t="str">
        <f>if(QuotesCheckJudgeAbstract&lt;&gt;"",QuotesCheckJudgeAbstract,if(or(QuotesCheckJudge="",and(QuotesCheckJudge = "primeiro", QuotesCheckChallengeRecommendation1 &lt;&gt; "")), QuotesCheckAbstract1,if(and(QuotesCheckJudge = "segundo", QuotesCheckChallengeRecommendation2 &lt;&gt; ""), QuotesCheckAbstract2,"")))</f>
        <v>Literature in the area of ​​enterprise systems related to DevOps is insufficient.</v>
      </c>
    </row>
    <row r="39">
      <c r="A39" s="22">
        <f>IFERROR(__xludf.DUMMYFUNCTION("if(or(QuotesCheckJudge="""",and(QuotesCheckJudge = ""primeiro"", QuotesCheckChallengeRecommendation1 &lt;&gt; """"),and(QuotesCheckJudge = ""segundo"", QuotesCheckChallengeRecommendation2 &lt;&gt; """")), filter('Quotes-Check'!A39:D39, 'Quotes-Check'!A39:D39&lt;&gt;""glugl"&amp;"uieie""),"""")"),2.0)</f>
        <v>2</v>
      </c>
      <c r="B39" s="22">
        <f>IFERROR(__xludf.DUMMYFUNCTION("""COMPUTED_VALUE"""),1.0)</f>
        <v>1</v>
      </c>
      <c r="C39" s="2" t="str">
        <f>IFERROR(__xludf.DUMMYFUNCTION("""COMPUTED_VALUE"""),"R1 / R2")</f>
        <v>R1 / R2</v>
      </c>
      <c r="D39" s="22" t="str">
        <f>IFERROR(__xludf.DUMMYFUNCTION("""COMPUTED_VALUE"""),"DevOps Concepts")</f>
        <v>DevOps Concepts</v>
      </c>
      <c r="E39" s="46" t="str">
        <f>IFERROR(__xludf.DUMMYFUNCTION("if(or(QuotesCheckJudge="""",and(QuotesCheckJudge = ""primeiro"", QuotesCheckChallengeRecommendation1 &lt;&gt; """")), filter('Quotes-Check'!E39:F39, 'Quotes-Check'!E39:F39&lt;&gt;""glugluieie""),if(and(QuotesCheckJudge = ""segundo"", QuotesCheckChallengeRecommendatio"&amp;"n2 &lt;&gt; """"), filter('Quotes-Check'!I39:J39, 'Quotes-Check'!I39:J39&lt;&gt;""glugluieie""),""""))"),"recommendation")</f>
        <v>recommendation</v>
      </c>
      <c r="F39" s="22" t="str">
        <f>IFERROR(__xludf.DUMMYFUNCTION("""COMPUTED_VALUE"""),"Mas como não tem, a gente encontra diversos materiais, a gente tem várias publicações")</f>
        <v>Mas como não tem, a gente encontra diversos materiais, a gente tem várias publicações</v>
      </c>
      <c r="G39" s="22" t="str">
        <f>if(QuotesCheckJudgeAbstract&lt;&gt;"",QuotesCheckJudgeAbstract,if(or(QuotesCheckJudge="",and(QuotesCheckJudge = "primeiro", QuotesCheckChallengeRecommendation1 &lt;&gt; "")), QuotesCheckAbstract1,if(and(QuotesCheckJudge = "segundo", QuotesCheckChallengeRecommendation2 &lt;&gt; ""), QuotesCheckAbstract2,"")))</f>
        <v>Combine the various materials and publications available to make up for the lack of a unified, complete, and high-level material.</v>
      </c>
    </row>
    <row r="40">
      <c r="A40" s="22">
        <f>IFERROR(__xludf.DUMMYFUNCTION("if(or(QuotesCheckJudge="""",and(QuotesCheckJudge = ""primeiro"", QuotesCheckChallengeRecommendation1 &lt;&gt; """"),and(QuotesCheckJudge = ""segundo"", QuotesCheckChallengeRecommendation2 &lt;&gt; """")), filter('Quotes-Check'!A40:D40, 'Quotes-Check'!A40:D40&lt;&gt;""glugl"&amp;"uieie""),"""")"),2.0)</f>
        <v>2</v>
      </c>
      <c r="B40" s="22">
        <f>IFERROR(__xludf.DUMMYFUNCTION("""COMPUTED_VALUE"""),3.0)</f>
        <v>3</v>
      </c>
      <c r="C40" s="2" t="str">
        <f>IFERROR(__xludf.DUMMYFUNCTION("""COMPUTED_VALUE"""),"R1 / R3")</f>
        <v>R1 / R3</v>
      </c>
      <c r="D40" s="22" t="str">
        <f>IFERROR(__xludf.DUMMYFUNCTION("""COMPUTED_VALUE"""),"Pedagogy")</f>
        <v>Pedagogy</v>
      </c>
      <c r="E40" s="46" t="str">
        <f>IFERROR(__xludf.DUMMYFUNCTION("if(or(QuotesCheckJudge="""",and(QuotesCheckJudge = ""primeiro"", QuotesCheckChallengeRecommendation1 &lt;&gt; """")), filter('Quotes-Check'!E40:F40, 'Quotes-Check'!E40:F40&lt;&gt;""glugluieie""),if(and(QuotesCheckJudge = ""segundo"", QuotesCheckChallengeRecommendatio"&amp;"n2 &lt;&gt; """"), filter('Quotes-Check'!I40:J40, 'Quotes-Check'!I40:J40&lt;&gt;""glugluieie""),""""))"),"recommendation")</f>
        <v>recommendation</v>
      </c>
      <c r="F40" s="22" t="str">
        <f>IFERROR(__xludf.DUMMYFUNCTION("""COMPUTED_VALUE"""),"Acredito que pra o DevOps, você ter esse equilíbrio [...] se você for pra um curso, que o foco é mais desenvolvimento [...] Levar os alunos aí pra ver o outro lado [...] Ver o Ops e o a galera lá do Ops quando puder ter oportunidade de ver a parte mais do"&amp;" Dev também")</f>
        <v>Acredito que pra o DevOps, você ter esse equilíbrio [...] se você for pra um curso, que o foco é mais desenvolvimento [...] Levar os alunos aí pra ver o outro lado [...] Ver o Ops e o a galera lá do Ops quando puder ter oportunidade de ver a parte mais do Dev também</v>
      </c>
      <c r="G40" s="22" t="str">
        <f>if(QuotesCheckJudgeAbstract&lt;&gt;"",QuotesCheckJudgeAbstract,if(or(QuotesCheckJudge="",and(QuotesCheckJudge = "primeiro", QuotesCheckChallengeRecommendation1 &lt;&gt; "")), QuotesCheckAbstract1,if(and(QuotesCheckJudge = "segundo", QuotesCheckChallengeRecommendation2 &lt;&gt; ""), QuotesCheckAbstract2,"")))</f>
        <v>Seeking balance in teaching development and operation.</v>
      </c>
    </row>
    <row r="41">
      <c r="A41" s="22">
        <f>IFERROR(__xludf.DUMMYFUNCTION("if(or(QuotesCheckJudge="""",and(QuotesCheckJudge = ""primeiro"", QuotesCheckChallengeRecommendation1 &lt;&gt; """"),and(QuotesCheckJudge = ""segundo"", QuotesCheckChallengeRecommendation2 &lt;&gt; """")), filter('Quotes-Check'!A41:D41, 'Quotes-Check'!A41:D41&lt;&gt;""glugl"&amp;"uieie""),"""")"),2.0)</f>
        <v>2</v>
      </c>
      <c r="B41" s="22">
        <f>IFERROR(__xludf.DUMMYFUNCTION("""COMPUTED_VALUE"""),3.0)</f>
        <v>3</v>
      </c>
      <c r="C41" s="2" t="str">
        <f>IFERROR(__xludf.DUMMYFUNCTION("""COMPUTED_VALUE"""),"R1 / R3")</f>
        <v>R1 / R3</v>
      </c>
      <c r="D41" s="22" t="str">
        <f>IFERROR(__xludf.DUMMYFUNCTION("""COMPUTED_VALUE"""),"Pedagogy")</f>
        <v>Pedagogy</v>
      </c>
      <c r="E41" s="46" t="str">
        <f>IFERROR(__xludf.DUMMYFUNCTION("if(or(QuotesCheckJudge="""",and(QuotesCheckJudge = ""primeiro"", QuotesCheckChallengeRecommendation1 &lt;&gt; """")), filter('Quotes-Check'!E41:F41, 'Quotes-Check'!E41:F41&lt;&gt;""glugluieie""),if(and(QuotesCheckJudge = ""segundo"", QuotesCheckChallengeRecommendatio"&amp;"n2 &lt;&gt; """"), filter('Quotes-Check'!I41:J41, 'Quotes-Check'!I41:J41&lt;&gt;""glugluieie""),""""))"),"challenge")</f>
        <v>challenge</v>
      </c>
      <c r="F41" s="22" t="str">
        <f>IFERROR(__xludf.DUMMYFUNCTION("""COMPUTED_VALUE"""),"Depois que tiver no ar, como é que você consegue monitorar e dar e talvez ter um feedback do cliente, talvez coisas pra melhorar, o monitoramento propriamente do sistema, essa parte aí é um desafio, realmente, você conseguir mostrar para o aluno e talvez,"&amp;" fazer com que ele encare isso de uma perspectiva mais profissional, porque já imaginando que ele vai pro mercado e vai se deparar, com essas, muitas situações aí.")</f>
        <v>Depois que tiver no ar, como é que você consegue monitorar e dar e talvez ter um feedback do cliente, talvez coisas pra melhorar, o monitoramento propriamente do sistema, essa parte aí é um desafio, realmente, você conseguir mostrar para o aluno e talvez, fazer com que ele encare isso de uma perspectiva mais profissional, porque já imaginando que ele vai pro mercado e vai se deparar, com essas, muitas situações aí.</v>
      </c>
      <c r="G41" s="22" t="str">
        <f>if(QuotesCheckJudgeAbstract&lt;&gt;"",QuotesCheckJudgeAbstract,if(or(QuotesCheckJudge="",and(QuotesCheckJudge = "primeiro", QuotesCheckChallengeRecommendation1 &lt;&gt; "")), QuotesCheckAbstract1,if(and(QuotesCheckJudge = "segundo", QuotesCheckChallengeRecommendation2 &lt;&gt; ""), QuotesCheckAbstract2,"")))</f>
        <v>It is difficult to make the student face teaching scenarios with a more professional perspective, with production-level monitoring.</v>
      </c>
    </row>
    <row r="42">
      <c r="A42" s="22">
        <f>IFERROR(__xludf.DUMMYFUNCTION("if(or(QuotesCheckJudge="""",and(QuotesCheckJudge = ""primeiro"", QuotesCheckChallengeRecommendation1 &lt;&gt; """"),and(QuotesCheckJudge = ""segundo"", QuotesCheckChallengeRecommendation2 &lt;&gt; """")), filter('Quotes-Check'!A42:D42, 'Quotes-Check'!A42:D42&lt;&gt;""glugl"&amp;"uieie""),"""")"),2.0)</f>
        <v>2</v>
      </c>
      <c r="B42" s="2">
        <f>IFERROR(__xludf.DUMMYFUNCTION("""COMPUTED_VALUE"""),3.0)</f>
        <v>3</v>
      </c>
      <c r="C42" s="2" t="str">
        <f>IFERROR(__xludf.DUMMYFUNCTION("""COMPUTED_VALUE"""),"R1 / R3")</f>
        <v>R1 / R3</v>
      </c>
      <c r="D42" s="2" t="str">
        <f>IFERROR(__xludf.DUMMYFUNCTION("""COMPUTED_VALUE"""),"Pedagogy")</f>
        <v>Pedagogy</v>
      </c>
      <c r="E42" s="46" t="str">
        <f>IFERROR(__xludf.DUMMYFUNCTION("if(or(QuotesCheckJudge="""",and(QuotesCheckJudge = ""primeiro"", QuotesCheckChallengeRecommendation1 &lt;&gt; """")), filter('Quotes-Check'!E42:F42, 'Quotes-Check'!E42:F42&lt;&gt;""glugluieie""),if(and(QuotesCheckJudge = ""segundo"", QuotesCheckChallengeRecommendatio"&amp;"n2 &lt;&gt; """"), filter('Quotes-Check'!I42:J42, 'Quotes-Check'!I42:J42&lt;&gt;""glugluieie""),""""))"),"recommendation")</f>
        <v>recommendation</v>
      </c>
      <c r="F42" s="22" t="str">
        <f>IFERROR(__xludf.DUMMYFUNCTION("""COMPUTED_VALUE"""),"tem uma [...] série de funcionalidades pra serem desenvolvidas e [...] o aluno ele vem sendo treinado pra isso. Mas outros aspectos relacionados mais a colocar o sistema em produção, a ter cuidado [...] depois que o sistema tá lá operacional, não focar ma"&amp;"is assim nos aspectos relacionados às funcionalidades do sistema, mas direcionar pra aspectos não funcionais, aí os alunos eles realmente precisam ter uma noção maior disso")</f>
        <v>tem uma [...] série de funcionalidades pra serem desenvolvidas e [...] o aluno ele vem sendo treinado pra isso. Mas outros aspectos relacionados mais a colocar o sistema em produção, a ter cuidado [...] depois que o sistema tá lá operacional, não focar mais assim nos aspectos relacionados às funcionalidades do sistema, mas direcionar pra aspectos não funcionais, aí os alunos eles realmente precisam ter uma noção maior disso</v>
      </c>
      <c r="G42" s="22" t="str">
        <f>if(QuotesCheckJudgeAbstract&lt;&gt;"",QuotesCheckJudgeAbstract,if(or(QuotesCheckJudge="",and(QuotesCheckJudge = "primeiro", QuotesCheckChallengeRecommendation1 &lt;&gt; "")), QuotesCheckAbstract1,if(and(QuotesCheckJudge = "segundo", QuotesCheckChallengeRecommendation2 &lt;&gt; ""), QuotesCheckAbstract2,"")))</f>
        <v>Work on improving students' skills related to non-functional requirements.</v>
      </c>
    </row>
    <row r="43">
      <c r="A43" s="22">
        <f>IFERROR(__xludf.DUMMYFUNCTION("if(or(QuotesCheckJudge="""",and(QuotesCheckJudge = ""primeiro"", QuotesCheckChallengeRecommendation1 &lt;&gt; """"),and(QuotesCheckJudge = ""segundo"", QuotesCheckChallengeRecommendation2 &lt;&gt; """")), filter('Quotes-Check'!A43:D43, 'Quotes-Check'!A43:D43&lt;&gt;""glugl"&amp;"uieie""),"""")"),2.0)</f>
        <v>2</v>
      </c>
      <c r="B43" s="22">
        <f>IFERROR(__xludf.DUMMYFUNCTION("""COMPUTED_VALUE"""),4.0)</f>
        <v>4</v>
      </c>
      <c r="C43" s="2" t="str">
        <f>IFERROR(__xludf.DUMMYFUNCTION("""COMPUTED_VALUE"""),"R1 / R2")</f>
        <v>R1 / R2</v>
      </c>
      <c r="D43" s="22" t="str">
        <f>IFERROR(__xludf.DUMMYFUNCTION("""COMPUTED_VALUE"""),"Pedagogy")</f>
        <v>Pedagogy</v>
      </c>
      <c r="E43" s="46" t="str">
        <f>IFERROR(__xludf.DUMMYFUNCTION("if(or(QuotesCheckJudge="""",and(QuotesCheckJudge = ""primeiro"", QuotesCheckChallengeRecommendation1 &lt;&gt; """")), filter('Quotes-Check'!E43:F43, 'Quotes-Check'!E43:F43&lt;&gt;""glugluieie""),if(and(QuotesCheckJudge = ""segundo"", QuotesCheckChallengeRecommendatio"&amp;"n2 &lt;&gt; """"), filter('Quotes-Check'!I43:J43, 'Quotes-Check'!I43:J43&lt;&gt;""glugluieie""),""""))"),"recommendation")</f>
        <v>recommendation</v>
      </c>
      <c r="F43" s="22" t="str">
        <f>IFERROR(__xludf.DUMMYFUNCTION("""COMPUTED_VALUE"""),"a ferramenta do micro serviços, é uma das ferramentas que eu tenho utilizado com eles. Uma ferramenta, um ambiente em que nós colocamos ali as soluções dos alunos e eles conseguem ter ali uma visão mais da parte de Integração Contínua;")</f>
        <v>a ferramenta do micro serviços, é uma das ferramentas que eu tenho utilizado com eles. Uma ferramenta, um ambiente em que nós colocamos ali as soluções dos alunos e eles conseguem ter ali uma visão mais da parte de Integração Contínua;</v>
      </c>
      <c r="G43" s="22" t="str">
        <f>if(QuotesCheckJudgeAbstract&lt;&gt;"",QuotesCheckJudgeAbstract,if(or(QuotesCheckJudge="",and(QuotesCheckJudge = "primeiro", QuotesCheckChallengeRecommendation1 &lt;&gt; "")), QuotesCheckAbstract1,if(and(QuotesCheckJudge = "segundo", QuotesCheckChallengeRecommendation2 &lt;&gt; ""), QuotesCheckAbstract2,"")))</f>
        <v>Use of a learning tool to facilitate understanding of the concept of Continuous Integration.</v>
      </c>
    </row>
    <row r="44">
      <c r="A44" s="22" t="str">
        <f>IFERROR(__xludf.DUMMYFUNCTION("if(or(QuotesCheckJudge="""",and(QuotesCheckJudge = ""primeiro"", QuotesCheckChallengeRecommendation1 &lt;&gt; """"),and(QuotesCheckJudge = ""segundo"", QuotesCheckChallengeRecommendation2 &lt;&gt; """")), filter('Quotes-Check'!A44:D44, 'Quotes-Check'!A44:D44&lt;&gt;""glugl"&amp;"uieie""),"""")"),"")</f>
        <v/>
      </c>
      <c r="B44" s="22"/>
      <c r="C44" s="2"/>
      <c r="D44" s="22"/>
      <c r="E44" s="46" t="str">
        <f>IFERROR(__xludf.DUMMYFUNCTION("if(or(QuotesCheckJudge="""",and(QuotesCheckJudge = ""primeiro"", QuotesCheckChallengeRecommendation1 &lt;&gt; """")), filter('Quotes-Check'!E44:F44, 'Quotes-Check'!E44:F44&lt;&gt;""glugluieie""),if(and(QuotesCheckJudge = ""segundo"", QuotesCheckChallengeRecommendatio"&amp;"n2 &lt;&gt; """"), filter('Quotes-Check'!I44:J44, 'Quotes-Check'!I44:J44&lt;&gt;""glugluieie""),""""))"),"")</f>
        <v/>
      </c>
      <c r="F44" s="22"/>
      <c r="G44" s="22" t="str">
        <f>if(QuotesCheckJudgeAbstract&lt;&gt;"",QuotesCheckJudgeAbstract,if(or(QuotesCheckJudge="",and(QuotesCheckJudge = "primeiro", QuotesCheckChallengeRecommendation1 &lt;&gt; "")), QuotesCheckAbstract1,if(and(QuotesCheckJudge = "segundo", QuotesCheckChallengeRecommendation2 &lt;&gt; ""), QuotesCheckAbstract2,"")))</f>
        <v/>
      </c>
    </row>
    <row r="45">
      <c r="A45" s="22">
        <f>IFERROR(__xludf.DUMMYFUNCTION("if(or(QuotesCheckJudge="""",and(QuotesCheckJudge = ""primeiro"", QuotesCheckChallengeRecommendation1 &lt;&gt; """"),and(QuotesCheckJudge = ""segundo"", QuotesCheckChallengeRecommendation2 &lt;&gt; """")), filter('Quotes-Check'!A45:D45, 'Quotes-Check'!A45:D45&lt;&gt;""glugl"&amp;"uieie""),"""")"),2.0)</f>
        <v>2</v>
      </c>
      <c r="B45" s="22">
        <f>IFERROR(__xludf.DUMMYFUNCTION("""COMPUTED_VALUE"""),4.0)</f>
        <v>4</v>
      </c>
      <c r="C45" s="2" t="str">
        <f>IFERROR(__xludf.DUMMYFUNCTION("""COMPUTED_VALUE"""),"R1 / R2")</f>
        <v>R1 / R2</v>
      </c>
      <c r="D45" s="22" t="str">
        <f>IFERROR(__xludf.DUMMYFUNCTION("""COMPUTED_VALUE"""),"Pedagogy")</f>
        <v>Pedagogy</v>
      </c>
      <c r="E45" s="46" t="str">
        <f>IFERROR(__xludf.DUMMYFUNCTION("if(or(QuotesCheckJudge="""",and(QuotesCheckJudge = ""primeiro"", QuotesCheckChallengeRecommendation1 &lt;&gt; """")), filter('Quotes-Check'!E45:F45, 'Quotes-Check'!E45:F45&lt;&gt;""glugluieie""),if(and(QuotesCheckJudge = ""segundo"", QuotesCheckChallengeRecommendatio"&amp;"n2 &lt;&gt; """"), filter('Quotes-Check'!I45:J45, 'Quotes-Check'!I45:J45&lt;&gt;""glugluieie""),""""))"),"challenge")</f>
        <v>challenge</v>
      </c>
      <c r="F45" s="22" t="str">
        <f>IFERROR(__xludf.DUMMYFUNCTION("""COMPUTED_VALUE"""),"O desafio aí de fazer os alunos verem essa abordagem aí da operacionalização, colocar o sistema lá no ar, manter esse sistema, adicionar as novas funcionalidades e não quebrar o sistema")</f>
        <v>O desafio aí de fazer os alunos verem essa abordagem aí da operacionalização, colocar o sistema lá no ar, manter esse sistema, adicionar as novas funcionalidades e não quebrar o sistema</v>
      </c>
      <c r="G45"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in teaching the student how to operate the system, allowing the addition of new features without breaking the system.</v>
      </c>
    </row>
    <row r="46">
      <c r="A46" s="22" t="str">
        <f>IFERROR(__xludf.DUMMYFUNCTION("if(or(QuotesCheckJudge="""",and(QuotesCheckJudge = ""primeiro"", QuotesCheckChallengeRecommendation1 &lt;&gt; """"),and(QuotesCheckJudge = ""segundo"", QuotesCheckChallengeRecommendation2 &lt;&gt; """")), filter('Quotes-Check'!A46:D46, 'Quotes-Check'!A46:D46&lt;&gt;""glugl"&amp;"uieie""),"""")"),"")</f>
        <v/>
      </c>
      <c r="B46" s="22"/>
      <c r="C46" s="2"/>
      <c r="D46" s="22"/>
      <c r="E46" s="46" t="str">
        <f>IFERROR(__xludf.DUMMYFUNCTION("if(or(QuotesCheckJudge="""",and(QuotesCheckJudge = ""primeiro"", QuotesCheckChallengeRecommendation1 &lt;&gt; """")), filter('Quotes-Check'!E46:F46, 'Quotes-Check'!E46:F46&lt;&gt;""glugluieie""),if(and(QuotesCheckJudge = ""segundo"", QuotesCheckChallengeRecommendatio"&amp;"n2 &lt;&gt; """"), filter('Quotes-Check'!I46:J46, 'Quotes-Check'!I46:J46&lt;&gt;""glugluieie""),""""))"),"")</f>
        <v/>
      </c>
      <c r="F46" s="22"/>
      <c r="G46" s="22" t="str">
        <f>if(QuotesCheckJudgeAbstract&lt;&gt;"",QuotesCheckJudgeAbstract,if(or(QuotesCheckJudge="",and(QuotesCheckJudge = "primeiro", QuotesCheckChallengeRecommendation1 &lt;&gt; "")), QuotesCheckAbstract1,if(and(QuotesCheckJudge = "segundo", QuotesCheckChallengeRecommendation2 &lt;&gt; ""), QuotesCheckAbstract2,"")))</f>
        <v/>
      </c>
    </row>
    <row r="47">
      <c r="A47" s="22">
        <f>IFERROR(__xludf.DUMMYFUNCTION("if(or(QuotesCheckJudge="""",and(QuotesCheckJudge = ""primeiro"", QuotesCheckChallengeRecommendation1 &lt;&gt; """"),and(QuotesCheckJudge = ""segundo"", QuotesCheckChallengeRecommendation2 &lt;&gt; """")), filter('Quotes-Check'!A47:D47, 'Quotes-Check'!A47:D47&lt;&gt;""glugl"&amp;"uieie""),"""")"),2.0)</f>
        <v>2</v>
      </c>
      <c r="B47" s="22">
        <f>IFERROR(__xludf.DUMMYFUNCTION("""COMPUTED_VALUE"""),4.0)</f>
        <v>4</v>
      </c>
      <c r="C47" s="2" t="str">
        <f>IFERROR(__xludf.DUMMYFUNCTION("""COMPUTED_VALUE"""),"R1 / R2")</f>
        <v>R1 / R2</v>
      </c>
      <c r="D47" s="22" t="str">
        <f>IFERROR(__xludf.DUMMYFUNCTION("""COMPUTED_VALUE"""),"Pedagogy")</f>
        <v>Pedagogy</v>
      </c>
      <c r="E47" s="46" t="str">
        <f>IFERROR(__xludf.DUMMYFUNCTION("if(or(QuotesCheckJudge="""",and(QuotesCheckJudge = ""primeiro"", QuotesCheckChallengeRecommendation1 &lt;&gt; """")), filter('Quotes-Check'!E47:F47, 'Quotes-Check'!E47:F47&lt;&gt;""glugluieie""),if(and(QuotesCheckJudge = ""segundo"", QuotesCheckChallengeRecommendatio"&amp;"n2 &lt;&gt; """"), filter('Quotes-Check'!I47:J47, 'Quotes-Check'!I47:J47&lt;&gt;""glugluieie""),""""))"),"recommendation")</f>
        <v>recommendation</v>
      </c>
      <c r="F47" s="22" t="str">
        <f>IFERROR(__xludf.DUMMYFUNCTION("""COMPUTED_VALUE"""),"[...]esses sistemas sendo disponibilizados e aí com a criação da ferramenta do DevOps da nuvem do IFRN, o sistema lá de microsserviços, foi possível então a gente ter essa visão mais prática do processo como um todo. Então, eu tenho adotado, em todos os s"&amp;"emestres, inclusive, tenho sempre solicitado que os alunos trabalhem com essa ferramenta[...]")</f>
        <v>[...]esses sistemas sendo disponibilizados e aí com a criação da ferramenta do DevOps da nuvem do IFRN, o sistema lá de microsserviços, foi possível então a gente ter essa visão mais prática do processo como um todo. Então, eu tenho adotado, em todos os semestres, inclusive, tenho sempre solicitado que os alunos trabalhem com essa ferramenta[...]</v>
      </c>
      <c r="G47" s="22" t="str">
        <f>if(QuotesCheckJudgeAbstract&lt;&gt;"",QuotesCheckJudgeAbstract,if(or(QuotesCheckJudge="",and(QuotesCheckJudge = "primeiro", QuotesCheckChallengeRecommendation1 &lt;&gt; "")), QuotesCheckAbstract1,if(and(QuotesCheckJudge = "segundo", QuotesCheckChallengeRecommendation2 &lt;&gt; ""), QuotesCheckAbstract2,"")))</f>
        <v>Using a learning tool helps in DevOps teaching.</v>
      </c>
    </row>
    <row r="48">
      <c r="A48" s="22" t="str">
        <f>IFERROR(__xludf.DUMMYFUNCTION("if(or(QuotesCheckJudge="""",and(QuotesCheckJudge = ""primeiro"", QuotesCheckChallengeRecommendation1 &lt;&gt; """"),and(QuotesCheckJudge = ""segundo"", QuotesCheckChallengeRecommendation2 &lt;&gt; """")), filter('Quotes-Check'!A48:D48, 'Quotes-Check'!A48:D48&lt;&gt;""glugl"&amp;"uieie""),"""")"),"")</f>
        <v/>
      </c>
      <c r="B48" s="22"/>
      <c r="C48" s="2"/>
      <c r="D48" s="22"/>
      <c r="E48" s="46" t="str">
        <f>IFERROR(__xludf.DUMMYFUNCTION("if(or(QuotesCheckJudge="""",and(QuotesCheckJudge = ""primeiro"", QuotesCheckChallengeRecommendation1 &lt;&gt; """")), filter('Quotes-Check'!E48:F48, 'Quotes-Check'!E48:F48&lt;&gt;""glugluieie""),if(and(QuotesCheckJudge = ""segundo"", QuotesCheckChallengeRecommendatio"&amp;"n2 &lt;&gt; """"), filter('Quotes-Check'!I48:J48, 'Quotes-Check'!I48:J48&lt;&gt;""glugluieie""),""""))"),"")</f>
        <v/>
      </c>
      <c r="F48" s="22"/>
      <c r="G48" s="22" t="str">
        <f>if(QuotesCheckJudgeAbstract&lt;&gt;"",QuotesCheckJudgeAbstract,if(or(QuotesCheckJudge="",and(QuotesCheckJudge = "primeiro", QuotesCheckChallengeRecommendation1 &lt;&gt; "")), QuotesCheckAbstract1,if(and(QuotesCheckJudge = "segundo", QuotesCheckChallengeRecommendation2 &lt;&gt; ""), QuotesCheckAbstract2,"")))</f>
        <v/>
      </c>
    </row>
    <row r="49">
      <c r="A49" s="22" t="str">
        <f>IFERROR(__xludf.DUMMYFUNCTION("if(or(QuotesCheckJudge="""",and(QuotesCheckJudge = ""primeiro"", QuotesCheckChallengeRecommendation1 &lt;&gt; """"),and(QuotesCheckJudge = ""segundo"", QuotesCheckChallengeRecommendation2 &lt;&gt; """")), filter('Quotes-Check'!A49:D49, 'Quotes-Check'!A49:D49&lt;&gt;""glugl"&amp;"uieie""),"""")"),"")</f>
        <v/>
      </c>
      <c r="B49" s="22"/>
      <c r="C49" s="12"/>
      <c r="D49" s="22"/>
      <c r="E49" s="46" t="str">
        <f>IFERROR(__xludf.DUMMYFUNCTION("if(or(QuotesCheckJudge="""",and(QuotesCheckJudge = ""primeiro"", QuotesCheckChallengeRecommendation1 &lt;&gt; """")), filter('Quotes-Check'!E49:F49, 'Quotes-Check'!E49:F49&lt;&gt;""glugluieie""),if(and(QuotesCheckJudge = ""segundo"", QuotesCheckChallengeRecommendatio"&amp;"n2 &lt;&gt; """"), filter('Quotes-Check'!I49:J49, 'Quotes-Check'!I49:J49&lt;&gt;""glugluieie""),""""))"),"")</f>
        <v/>
      </c>
      <c r="F49" s="22"/>
      <c r="G49" s="22" t="str">
        <f>if(QuotesCheckJudgeAbstract&lt;&gt;"",QuotesCheckJudgeAbstract,if(or(QuotesCheckJudge="",and(QuotesCheckJudge = "primeiro", QuotesCheckChallengeRecommendation1 &lt;&gt; "")), QuotesCheckAbstract1,if(and(QuotesCheckJudge = "segundo", QuotesCheckChallengeRecommendation2 &lt;&gt; ""), QuotesCheckAbstract2,"")))</f>
        <v/>
      </c>
    </row>
    <row r="50">
      <c r="A50" s="22">
        <f>IFERROR(__xludf.DUMMYFUNCTION("if(or(QuotesCheckJudge="""",and(QuotesCheckJudge = ""primeiro"", QuotesCheckChallengeRecommendation1 &lt;&gt; """"),and(QuotesCheckJudge = ""segundo"", QuotesCheckChallengeRecommendation2 &lt;&gt; """")), filter('Quotes-Check'!A50:D50, 'Quotes-Check'!A50:D50&lt;&gt;""glugl"&amp;"uieie""),"""")"),2.0)</f>
        <v>2</v>
      </c>
      <c r="B50" s="22">
        <f>IFERROR(__xludf.DUMMYFUNCTION("""COMPUTED_VALUE"""),5.0)</f>
        <v>5</v>
      </c>
      <c r="C50" s="12" t="str">
        <f>IFERROR(__xludf.DUMMYFUNCTION("""COMPUTED_VALUE"""),"R2 / R3")</f>
        <v>R2 / R3</v>
      </c>
      <c r="D50" s="22" t="str">
        <f>IFERROR(__xludf.DUMMYFUNCTION("""COMPUTED_VALUE"""),"Curriculum")</f>
        <v>Curriculum</v>
      </c>
      <c r="E50" s="46" t="str">
        <f>IFERROR(__xludf.DUMMYFUNCTION("if(or(QuotesCheckJudge="""",and(QuotesCheckJudge = ""primeiro"", QuotesCheckChallengeRecommendation1 &lt;&gt; """")), filter('Quotes-Check'!E50:F50, 'Quotes-Check'!E50:F50&lt;&gt;""glugluieie""),if(and(QuotesCheckJudge = ""segundo"", QuotesCheckChallengeRecommendatio"&amp;"n2 &lt;&gt; """"), filter('Quotes-Check'!I50:J50, 'Quotes-Check'!I50:J50&lt;&gt;""glugluieie""),""""))"),"recommendation")</f>
        <v>recommendation</v>
      </c>
      <c r="F50" s="22" t="str">
        <f>IFERROR(__xludf.DUMMYFUNCTION("""COMPUTED_VALUE"""),"a importância de se ter, realmente, no currículo uma uma disciplina dessa falando sobre esses temas")</f>
        <v>a importância de se ter, realmente, no currículo uma uma disciplina dessa falando sobre esses temas</v>
      </c>
      <c r="G50" s="22" t="str">
        <f>if(QuotesCheckJudgeAbstract&lt;&gt;"",QuotesCheckJudgeAbstract,if(or(QuotesCheckJudge="",and(QuotesCheckJudge = "primeiro", QuotesCheckChallengeRecommendation1 &lt;&gt; "")), QuotesCheckAbstract1,if(and(QuotesCheckJudge = "segundo", QuotesCheckChallengeRecommendation2 &lt;&gt; ""), QuotesCheckAbstract2,"")))</f>
        <v>DevOps deserves a discipline in the curriculum.</v>
      </c>
    </row>
    <row r="51">
      <c r="A51" s="22">
        <f>IFERROR(__xludf.DUMMYFUNCTION("if(or(QuotesCheckJudge="""",and(QuotesCheckJudge = ""primeiro"", QuotesCheckChallengeRecommendation1 &lt;&gt; """"),and(QuotesCheckJudge = ""segundo"", QuotesCheckChallengeRecommendation2 &lt;&gt; """")), filter('Quotes-Check'!A51:D51, 'Quotes-Check'!A51:D51&lt;&gt;""glugl"&amp;"uieie""),"""")"),2.0)</f>
        <v>2</v>
      </c>
      <c r="B51" s="38">
        <f>IFERROR(__xludf.DUMMYFUNCTION("""COMPUTED_VALUE"""),5.0)</f>
        <v>5</v>
      </c>
      <c r="C51" s="2" t="str">
        <f>IFERROR(__xludf.DUMMYFUNCTION("""COMPUTED_VALUE"""),"R2 / R3")</f>
        <v>R2 / R3</v>
      </c>
      <c r="D51" s="22" t="str">
        <f>IFERROR(__xludf.DUMMYFUNCTION("""COMPUTED_VALUE"""),"Curriculum")</f>
        <v>Curriculum</v>
      </c>
      <c r="E51" s="46" t="str">
        <f>IFERROR(__xludf.DUMMYFUNCTION("if(or(QuotesCheckJudge="""",and(QuotesCheckJudge = ""primeiro"", QuotesCheckChallengeRecommendation1 &lt;&gt; """")), filter('Quotes-Check'!E51:F51, 'Quotes-Check'!E51:F51&lt;&gt;""glugluieie""),if(and(QuotesCheckJudge = ""segundo"", QuotesCheckChallengeRecommendatio"&amp;"n2 &lt;&gt; """"), filter('Quotes-Check'!I51:J51, 'Quotes-Check'!I51:J51&lt;&gt;""glugluieie""),""""))"),"recommendation")</f>
        <v>recommendation</v>
      </c>
      <c r="F51" s="22" t="str">
        <f>IFERROR(__xludf.DUMMYFUNCTION("""COMPUTED_VALUE"""),"[...]a gente tá passando por um processo de reformulação de matriz,[...]essa parte de carga horária e essa disciplina, realmente, a utilidade e uma das defesas que foi feita, foi justamente que a disciplina existisse no curso, justamente porque em um outr"&amp;"o momento, esses temas não seriam considerados. Então daí a importância de se ter no currículo uma uma disciplina dessas falando sobre esses temas.")</f>
        <v>[...]a gente tá passando por um processo de reformulação de matriz,[...]essa parte de carga horária e essa disciplina, realmente, a utilidade e uma das defesas que foi feita, foi justamente que a disciplina existisse no curso, justamente porque em um outro momento, esses temas não seriam considerados. Então daí a importância de se ter no currículo uma uma disciplina dessas falando sobre esses temas.</v>
      </c>
      <c r="G51" s="22" t="str">
        <f>if(QuotesCheckJudgeAbstract&lt;&gt;"",QuotesCheckJudgeAbstract,if(or(QuotesCheckJudge="",and(QuotesCheckJudge = "primeiro", QuotesCheckChallengeRecommendation1 &lt;&gt; "")), QuotesCheckAbstract1,if(and(QuotesCheckJudge = "segundo", QuotesCheckChallengeRecommendation2 &lt;&gt; ""), QuotesCheckAbstract2,"")))</f>
        <v>Be concerned with the course's curriculum, maintaining and creating DevOps disciplines.</v>
      </c>
    </row>
    <row r="52">
      <c r="A52" s="22">
        <f>IFERROR(__xludf.DUMMYFUNCTION("if(or(QuotesCheckJudge="""",and(QuotesCheckJudge = ""primeiro"", QuotesCheckChallengeRecommendation1 &lt;&gt; """"),and(QuotesCheckJudge = ""segundo"", QuotesCheckChallengeRecommendation2 &lt;&gt; """")), filter('Quotes-Check'!A52:D52, 'Quotes-Check'!A52:D52&lt;&gt;""glugl"&amp;"uieie""),"""")"),2.0)</f>
        <v>2</v>
      </c>
      <c r="B52" s="22">
        <f>IFERROR(__xludf.DUMMYFUNCTION("""COMPUTED_VALUE"""),6.0)</f>
        <v>6</v>
      </c>
      <c r="C52" s="2" t="str">
        <f>IFERROR(__xludf.DUMMYFUNCTION("""COMPUTED_VALUE"""),"R1 / R3")</f>
        <v>R1 / R3</v>
      </c>
      <c r="D52" s="22" t="str">
        <f>IFERROR(__xludf.DUMMYFUNCTION("""COMPUTED_VALUE"""),"Assessment")</f>
        <v>Assessment</v>
      </c>
      <c r="E52" s="46" t="str">
        <f>IFERROR(__xludf.DUMMYFUNCTION("if(or(QuotesCheckJudge="""",and(QuotesCheckJudge = ""primeiro"", QuotesCheckChallengeRecommendation1 &lt;&gt; """")), filter('Quotes-Check'!E52:F52, 'Quotes-Check'!E52:F52&lt;&gt;""glugluieie""),if(and(QuotesCheckJudge = ""segundo"", QuotesCheckChallengeRecommendatio"&amp;"n2 &lt;&gt; """"), filter('Quotes-Check'!I52:J52, 'Quotes-Check'!I52:J52&lt;&gt;""glugluieie""),""""))"),"recommendation")</f>
        <v>recommendation</v>
      </c>
      <c r="F52" s="22" t="str">
        <f>IFERROR(__xludf.DUMMYFUNCTION("""COMPUTED_VALUE"""),"A gente consegue avaliar nos alunos o trabalho em equipe, tipo, aqueles que estão colaborando, aqueles que estão mais sobrecarregados, aqueles que estão, talvez, menos sobrecarregados, aqueles que desenvolvem e entregam mais funcionalidades, aqueles que n"&amp;"ão colaboram com o trabalho em equipe")</f>
        <v>A gente consegue avaliar nos alunos o trabalho em equipe, tipo, aqueles que estão colaborando, aqueles que estão mais sobrecarregados, aqueles que estão, talvez, menos sobrecarregados, aqueles que desenvolvem e entregam mais funcionalidades, aqueles que não colaboram com o trabalho em equipe</v>
      </c>
      <c r="G52" s="22" t="str">
        <f>if(QuotesCheckJudgeAbstract&lt;&gt;"",QuotesCheckJudgeAbstract,if(or(QuotesCheckJudge="",and(QuotesCheckJudge = "primeiro", QuotesCheckChallengeRecommendation1 &lt;&gt; "")), QuotesCheckAbstract1,if(and(QuotesCheckJudge = "segundo", QuotesCheckChallengeRecommendation2 &lt;&gt; ""), QuotesCheckAbstract2,"")))</f>
        <v>Evaluate level of participation and difficulty of students in teamwork.</v>
      </c>
    </row>
    <row r="53">
      <c r="A53" s="22">
        <f>IFERROR(__xludf.DUMMYFUNCTION("if(or(QuotesCheckJudge="""",and(QuotesCheckJudge = ""primeiro"", QuotesCheckChallengeRecommendation1 &lt;&gt; """"),and(QuotesCheckJudge = ""segundo"", QuotesCheckChallengeRecommendation2 &lt;&gt; """")), filter('Quotes-Check'!A53:D53, 'Quotes-Check'!A53:D53&lt;&gt;""glugl"&amp;"uieie""),"""")"),2.0)</f>
        <v>2</v>
      </c>
      <c r="B53" s="22">
        <f>IFERROR(__xludf.DUMMYFUNCTION("""COMPUTED_VALUE"""),6.0)</f>
        <v>6</v>
      </c>
      <c r="C53" s="2" t="str">
        <f>IFERROR(__xludf.DUMMYFUNCTION("""COMPUTED_VALUE"""),"R1 / R3")</f>
        <v>R1 / R3</v>
      </c>
      <c r="D53" s="22" t="str">
        <f>IFERROR(__xludf.DUMMYFUNCTION("""COMPUTED_VALUE"""),"Assessment")</f>
        <v>Assessment</v>
      </c>
      <c r="E53" s="46" t="str">
        <f>IFERROR(__xludf.DUMMYFUNCTION("if(or(QuotesCheckJudge="""",and(QuotesCheckJudge = ""primeiro"", QuotesCheckChallengeRecommendation1 &lt;&gt; """")), filter('Quotes-Check'!E53:F53, 'Quotes-Check'!E53:F53&lt;&gt;""glugluieie""),if(and(QuotesCheckJudge = ""segundo"", QuotesCheckChallengeRecommendatio"&amp;"n2 &lt;&gt; """"), filter('Quotes-Check'!I53:J53, 'Quotes-Check'!I53:J53&lt;&gt;""glugluieie""),""""))"),"recommendation")</f>
        <v>recommendation</v>
      </c>
      <c r="F53" s="22" t="str">
        <f>IFERROR(__xludf.DUMMYFUNCTION("""COMPUTED_VALUE"""),"Essa parte de avaliação a gente consegue monitorar, muito por conta da atividade que eles fazem lá, né? Então uma parte, é a ferramenta do sistema da nuvem que nos possibilita, realmente, fazer esse acompanhamento")</f>
        <v>Essa parte de avaliação a gente consegue monitorar, muito por conta da atividade que eles fazem lá, né? Então uma parte, é a ferramenta do sistema da nuvem que nos possibilita, realmente, fazer esse acompanhamento</v>
      </c>
      <c r="G53" s="22" t="str">
        <f>if(QuotesCheckJudgeAbstract&lt;&gt;"",QuotesCheckJudgeAbstract,if(or(QuotesCheckJudge="",and(QuotesCheckJudge = "primeiro", QuotesCheckChallengeRecommendation1 &lt;&gt; "")), QuotesCheckAbstract1,if(and(QuotesCheckJudge = "segundo", QuotesCheckChallengeRecommendation2 &lt;&gt; ""), QuotesCheckAbstract2,"")))</f>
        <v>Monitoring of students through activities in a learning support environment.</v>
      </c>
    </row>
    <row r="54">
      <c r="A54" s="22">
        <f>IFERROR(__xludf.DUMMYFUNCTION("if(or(QuotesCheckJudge="""",and(QuotesCheckJudge = ""primeiro"", QuotesCheckChallengeRecommendation1 &lt;&gt; """"),and(QuotesCheckJudge = ""segundo"", QuotesCheckChallengeRecommendation2 &lt;&gt; """")), filter('Quotes-Check'!A54:D54, 'Quotes-Check'!A54:D54&lt;&gt;""glugl"&amp;"uieie""),"""")"),2.0)</f>
        <v>2</v>
      </c>
      <c r="B54" s="22">
        <f>IFERROR(__xludf.DUMMYFUNCTION("""COMPUTED_VALUE"""),6.0)</f>
        <v>6</v>
      </c>
      <c r="C54" s="2" t="str">
        <f>IFERROR(__xludf.DUMMYFUNCTION("""COMPUTED_VALUE"""),"R1 / R3")</f>
        <v>R1 / R3</v>
      </c>
      <c r="D54" s="22" t="str">
        <f>IFERROR(__xludf.DUMMYFUNCTION("""COMPUTED_VALUE"""),"Assessment")</f>
        <v>Assessment</v>
      </c>
      <c r="E54" s="46" t="str">
        <f>IFERROR(__xludf.DUMMYFUNCTION("if(or(QuotesCheckJudge="""",and(QuotesCheckJudge = ""primeiro"", QuotesCheckChallengeRecommendation1 &lt;&gt; """")), filter('Quotes-Check'!E54:F54, 'Quotes-Check'!E54:F54&lt;&gt;""glugluieie""),if(and(QuotesCheckJudge = ""segundo"", QuotesCheckChallengeRecommendatio"&amp;"n2 &lt;&gt; """"), filter('Quotes-Check'!I54:J54, 'Quotes-Check'!I54:J54&lt;&gt;""glugluieie""),""""))"),"recommendation")</f>
        <v>recommendation</v>
      </c>
      <c r="F54" s="22" t="str">
        <f>IFERROR(__xludf.DUMMYFUNCTION("""COMPUTED_VALUE""")," fazer uma prova, simplesmente avaliando ele, é uma maneira, inclusive, de fazer isso, mas nessa abordagem mais prática, acredito que se prepara mais o aluno e a gente consegue avaliar, de fato, os aspectos mais importantes da formação dele [...] Se ele e"&amp;"stá realmente adquirindo aquele conhecimento, aquilo que a gente tava querendo realmente transmitir naquele determinado tópico, naquele determinado assunto")</f>
        <v> fazer uma prova, simplesmente avaliando ele, é uma maneira, inclusive, de fazer isso, mas nessa abordagem mais prática, acredito que se prepara mais o aluno e a gente consegue avaliar, de fato, os aspectos mais importantes da formação dele [...] Se ele está realmente adquirindo aquele conhecimento, aquilo que a gente tava querendo realmente transmitir naquele determinado tópico, naquele determinado assunto</v>
      </c>
      <c r="G54" s="22" t="str">
        <f>if(QuotesCheckJudgeAbstract&lt;&gt;"",QuotesCheckJudgeAbstract,if(or(QuotesCheckJudge="",and(QuotesCheckJudge = "primeiro", QuotesCheckChallengeRecommendation1 &lt;&gt; "")), QuotesCheckAbstract1,if(and(QuotesCheckJudge = "segundo", QuotesCheckChallengeRecommendation2 &lt;&gt; ""), QuotesCheckAbstract2,"")))</f>
        <v>Prefer practical assessments to written tests in order to verify student learning on the subject.</v>
      </c>
    </row>
    <row r="55">
      <c r="A55" s="22">
        <f>IFERROR(__xludf.DUMMYFUNCTION("if(or(QuotesCheckJudge="""",and(QuotesCheckJudge = ""primeiro"", QuotesCheckChallengeRecommendation1 &lt;&gt; """"),and(QuotesCheckJudge = ""segundo"", QuotesCheckChallengeRecommendation2 &lt;&gt; """")), filter('Quotes-Check'!A55:D55, 'Quotes-Check'!A55:D55&lt;&gt;""glugl"&amp;"uieie""),"""")"),2.0)</f>
        <v>2</v>
      </c>
      <c r="B55" s="22">
        <f>IFERROR(__xludf.DUMMYFUNCTION("""COMPUTED_VALUE"""),6.0)</f>
        <v>6</v>
      </c>
      <c r="C55" s="2" t="str">
        <f>IFERROR(__xludf.DUMMYFUNCTION("""COMPUTED_VALUE"""),"R1 / R3")</f>
        <v>R1 / R3</v>
      </c>
      <c r="D55" s="22" t="str">
        <f>IFERROR(__xludf.DUMMYFUNCTION("""COMPUTED_VALUE"""),"Assessment")</f>
        <v>Assessment</v>
      </c>
      <c r="E55" s="46" t="str">
        <f>IFERROR(__xludf.DUMMYFUNCTION("if(or(QuotesCheckJudge="""",and(QuotesCheckJudge = ""primeiro"", QuotesCheckChallengeRecommendation1 &lt;&gt; """")), filter('Quotes-Check'!E55:F55, 'Quotes-Check'!E55:F55&lt;&gt;""glugluieie""),if(and(QuotesCheckJudge = ""segundo"", QuotesCheckChallengeRecommendatio"&amp;"n2 &lt;&gt; """"), filter('Quotes-Check'!I55:J55, 'Quotes-Check'!I55:J55&lt;&gt;""glugluieie""),""""))"),"challenge")</f>
        <v>challenge</v>
      </c>
      <c r="F55" s="22" t="str">
        <f>IFERROR(__xludf.DUMMYFUNCTION("""COMPUTED_VALUE"""),"Como é que a gente consegue ver se o aluno está por dentro do conceito de entrega contínua, que é um dos conceitos que a gente aborda")</f>
        <v>Como é que a gente consegue ver se o aluno está por dentro do conceito de entrega contínua, que é um dos conceitos que a gente aborda</v>
      </c>
      <c r="G55"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in assessing students' understanding of Continuous Delivery.</v>
      </c>
    </row>
    <row r="56">
      <c r="A56" s="22">
        <f>IFERROR(__xludf.DUMMYFUNCTION("if(or(QuotesCheckJudge="""",and(QuotesCheckJudge = ""primeiro"", QuotesCheckChallengeRecommendation1 &lt;&gt; """"),and(QuotesCheckJudge = ""segundo"", QuotesCheckChallengeRecommendation2 &lt;&gt; """")), filter('Quotes-Check'!A56:D56, 'Quotes-Check'!A56:D56&lt;&gt;""glugl"&amp;"uieie""),"""")"),2.0)</f>
        <v>2</v>
      </c>
      <c r="B56" s="22">
        <f>IFERROR(__xludf.DUMMYFUNCTION("""COMPUTED_VALUE"""),7.0)</f>
        <v>7</v>
      </c>
      <c r="C56" s="2" t="str">
        <f>IFERROR(__xludf.DUMMYFUNCTION("""COMPUTED_VALUE"""),"R1 / R2")</f>
        <v>R1 / R2</v>
      </c>
      <c r="D56" s="22" t="str">
        <f>IFERROR(__xludf.DUMMYFUNCTION("""COMPUTED_VALUE"""),"Tool / Technology")</f>
        <v>Tool / Technology</v>
      </c>
      <c r="E56" s="46" t="str">
        <f>IFERROR(__xludf.DUMMYFUNCTION("if(or(QuotesCheckJudge="""",and(QuotesCheckJudge = ""primeiro"", QuotesCheckChallengeRecommendation1 &lt;&gt; """")), filter('Quotes-Check'!E56:F56, 'Quotes-Check'!E56:F56&lt;&gt;""glugluieie""),if(and(QuotesCheckJudge = ""segundo"", QuotesCheckChallengeRecommendatio"&amp;"n2 &lt;&gt; """"), filter('Quotes-Check'!I56:J56, 'Quotes-Check'!I56:J56&lt;&gt;""glugluieie""),""""))"),"challenge")</f>
        <v>challenge</v>
      </c>
      <c r="F56" s="22" t="str">
        <f>IFERROR(__xludf.DUMMYFUNCTION("""COMPUTED_VALUE"""),"É mais esse contato inicial que parece que assusta eles um pouco mais, faz com que eles vão pra outras, quando eles chegam")</f>
        <v>É mais esse contato inicial que parece que assusta eles um pouco mais, faz com que eles vão pra outras, quando eles chegam</v>
      </c>
      <c r="G56" s="22" t="str">
        <f>if(QuotesCheckJudgeAbstract&lt;&gt;"",QuotesCheckJudgeAbstract,if(or(QuotesCheckJudge="",and(QuotesCheckJudge = "primeiro", QuotesCheckChallengeRecommendation1 &lt;&gt; "")), QuotesCheckAbstract1,if(and(QuotesCheckJudge = "segundo", QuotesCheckChallengeRecommendation2 &lt;&gt; ""), QuotesCheckAbstract2,"")))</f>
        <v>The environment adopted by instructors can frighten students by making them migrate to other tools.</v>
      </c>
    </row>
    <row r="57">
      <c r="A57" s="22">
        <f>IFERROR(__xludf.DUMMYFUNCTION("if(or(QuotesCheckJudge="""",and(QuotesCheckJudge = ""primeiro"", QuotesCheckChallengeRecommendation1 &lt;&gt; """"),and(QuotesCheckJudge = ""segundo"", QuotesCheckChallengeRecommendation2 &lt;&gt; """")), filter('Quotes-Check'!A57:D57, 'Quotes-Check'!A57:D57&lt;&gt;""glugl"&amp;"uieie""),"""")"),2.0)</f>
        <v>2</v>
      </c>
      <c r="B57" s="22">
        <f>IFERROR(__xludf.DUMMYFUNCTION("""COMPUTED_VALUE"""),7.0)</f>
        <v>7</v>
      </c>
      <c r="C57" s="2" t="str">
        <f>IFERROR(__xludf.DUMMYFUNCTION("""COMPUTED_VALUE"""),"R1 / R2")</f>
        <v>R1 / R2</v>
      </c>
      <c r="D57" s="22" t="str">
        <f>IFERROR(__xludf.DUMMYFUNCTION("""COMPUTED_VALUE"""),"Tool / Technology")</f>
        <v>Tool / Technology</v>
      </c>
      <c r="E57" s="46" t="str">
        <f>IFERROR(__xludf.DUMMYFUNCTION("if(or(QuotesCheckJudge="""",and(QuotesCheckJudge = ""primeiro"", QuotesCheckChallengeRecommendation1 &lt;&gt; """")), filter('Quotes-Check'!E57:F57, 'Quotes-Check'!E57:F57&lt;&gt;""glugluieie""),if(and(QuotesCheckJudge = ""segundo"", QuotesCheckChallengeRecommendatio"&amp;"n2 &lt;&gt; """"), filter('Quotes-Check'!I57:J57, 'Quotes-Check'!I57:J57&lt;&gt;""glugluieie""),""""))"),"recommendation")</f>
        <v>recommendation</v>
      </c>
      <c r="F57" s="22" t="str">
        <f>IFERROR(__xludf.DUMMYFUNCTION("""COMPUTED_VALUE"""),"[...]com o acréscimo do nosso time do PDS do professor Sales, ele  tem um acesso, assim, mais dentro da ferramenta, ele já conhece os mais diversos aspectos, já foi possível a gente sanar diversas dificuldades[...]")</f>
        <v>[...]com o acréscimo do nosso time do PDS do professor Sales, ele  tem um acesso, assim, mais dentro da ferramenta, ele já conhece os mais diversos aspectos, já foi possível a gente sanar diversas dificuldades[...]</v>
      </c>
      <c r="G57" s="22" t="str">
        <f>if(QuotesCheckJudgeAbstract&lt;&gt;"",QuotesCheckJudgeAbstract,if(or(QuotesCheckJudge="",and(QuotesCheckJudge = "primeiro", QuotesCheckChallengeRecommendation1 &lt;&gt; "")), QuotesCheckAbstract1,if(and(QuotesCheckJudge = "segundo", QuotesCheckChallengeRecommendation2 &lt;&gt; ""), QuotesCheckAbstract2,"")))</f>
        <v>When using a tool to help teach, you must have a good command of it and the necessary permissions/accompaniment of someone with such permissions to deal well with the possible difficulties during its use in the discipline.</v>
      </c>
    </row>
    <row r="58">
      <c r="A58" s="22">
        <f>IFERROR(__xludf.DUMMYFUNCTION("if(or(QuotesCheckJudge="""",and(QuotesCheckJudge = ""primeiro"", QuotesCheckChallengeRecommendation1 &lt;&gt; """"),and(QuotesCheckJudge = ""segundo"", QuotesCheckChallengeRecommendation2 &lt;&gt; """")), filter('Quotes-Check'!A58:D58, 'Quotes-Check'!A58:D58&lt;&gt;""glugl"&amp;"uieie""),"""")"),2.0)</f>
        <v>2</v>
      </c>
      <c r="B58" s="22">
        <f>IFERROR(__xludf.DUMMYFUNCTION("""COMPUTED_VALUE"""),7.0)</f>
        <v>7</v>
      </c>
      <c r="C58" s="2" t="str">
        <f>IFERROR(__xludf.DUMMYFUNCTION("""COMPUTED_VALUE"""),"R1 / R2")</f>
        <v>R1 / R2</v>
      </c>
      <c r="D58" s="22" t="str">
        <f>IFERROR(__xludf.DUMMYFUNCTION("""COMPUTED_VALUE"""),"Tool / Technology")</f>
        <v>Tool / Technology</v>
      </c>
      <c r="E58" s="46" t="str">
        <f>IFERROR(__xludf.DUMMYFUNCTION("if(or(QuotesCheckJudge="""",and(QuotesCheckJudge = ""primeiro"", QuotesCheckChallengeRecommendation1 &lt;&gt; """")), filter('Quotes-Check'!E58:F58, 'Quotes-Check'!E58:F58&lt;&gt;""glugluieie""),if(and(QuotesCheckJudge = ""segundo"", QuotesCheckChallengeRecommendatio"&amp;"n2 &lt;&gt; """"), filter('Quotes-Check'!I58:J58, 'Quotes-Check'!I58:J58&lt;&gt;""glugluieie""),""""))"),"recommendation")</f>
        <v>recommendation</v>
      </c>
      <c r="F58" s="22" t="str">
        <f>IFERROR(__xludf.DUMMYFUNCTION("""COMPUTED_VALUE"""),"Normalmente eles já chegam com o sistema às vezes implantado em um outro ambiente, Que é bem comum eles utilizarem esse ambiente, e aí a gente tem que trazer eles pedindo realmente que eles utilizem a nossa")</f>
        <v>Normalmente eles já chegam com o sistema às vezes implantado em um outro ambiente, Que é bem comum eles utilizarem esse ambiente, e aí a gente tem que trazer eles pedindo realmente que eles utilizem a nossa</v>
      </c>
      <c r="G58" s="22" t="str">
        <f>if(QuotesCheckJudgeAbstract&lt;&gt;"",QuotesCheckJudgeAbstract,if(or(QuotesCheckJudge="",and(QuotesCheckJudge = "primeiro", QuotesCheckChallengeRecommendation1 &lt;&gt; "")), QuotesCheckAbstract1,if(and(QuotesCheckJudge = "segundo", QuotesCheckChallengeRecommendation2 &lt;&gt; ""), QuotesCheckAbstract2,"")))</f>
        <v>Ask students to adopt the tools used by instructors.</v>
      </c>
    </row>
    <row r="59">
      <c r="A59" s="22">
        <f>IFERROR(__xludf.DUMMYFUNCTION("if(or(QuotesCheckJudge="""",and(QuotesCheckJudge = ""primeiro"", QuotesCheckChallengeRecommendation1 &lt;&gt; """"),and(QuotesCheckJudge = ""segundo"", QuotesCheckChallengeRecommendation2 &lt;&gt; """")), filter('Quotes-Check'!A59:D59, 'Quotes-Check'!A59:D59&lt;&gt;""glugl"&amp;"uieie""),"""")"),2.0)</f>
        <v>2</v>
      </c>
      <c r="B59" s="22">
        <f>IFERROR(__xludf.DUMMYFUNCTION("""COMPUTED_VALUE"""),7.0)</f>
        <v>7</v>
      </c>
      <c r="C59" s="2" t="str">
        <f>IFERROR(__xludf.DUMMYFUNCTION("""COMPUTED_VALUE"""),"R1 / R2")</f>
        <v>R1 / R2</v>
      </c>
      <c r="D59" s="22" t="str">
        <f>IFERROR(__xludf.DUMMYFUNCTION("""COMPUTED_VALUE"""),"Tool / Technology")</f>
        <v>Tool / Technology</v>
      </c>
      <c r="E59" s="46" t="str">
        <f>IFERROR(__xludf.DUMMYFUNCTION("if(or(QuotesCheckJudge="""",and(QuotesCheckJudge = ""primeiro"", QuotesCheckChallengeRecommendation1 &lt;&gt; """")), filter('Quotes-Check'!E59:F59, 'Quotes-Check'!E59:F59&lt;&gt;""glugluieie""),if(and(QuotesCheckJudge = ""segundo"", QuotesCheckChallengeRecommendatio"&amp;"n2 &lt;&gt; """"), filter('Quotes-Check'!I59:J59, 'Quotes-Check'!I59:J59&lt;&gt;""glugluieie""),""""))"),"challenge")</f>
        <v>challenge</v>
      </c>
      <c r="F59" s="22" t="str">
        <f>IFERROR(__xludf.DUMMYFUNCTION("""COMPUTED_VALUE"""),"o docker, [...] para utilizar, eles normalmente têm uma dificuldade maior nesse tema, no início.")</f>
        <v>o docker, [...] para utilizar, eles normalmente têm uma dificuldade maior nesse tema, no início.</v>
      </c>
      <c r="G59" s="22" t="str">
        <f>if(QuotesCheckJudgeAbstract&lt;&gt;"",QuotesCheckJudgeAbstract,if(or(QuotesCheckJudge="",and(QuotesCheckJudge = "primeiro", QuotesCheckChallengeRecommendation1 &lt;&gt; "")), QuotesCheckAbstract1,if(and(QuotesCheckJudge = "segundo", QuotesCheckChallengeRecommendation2 &lt;&gt; ""), QuotesCheckAbstract2,"")))</f>
        <v>Initial difficulty using the Docker container tool.</v>
      </c>
    </row>
    <row r="60">
      <c r="A60" s="22">
        <f>IFERROR(__xludf.DUMMYFUNCTION("if(or(QuotesCheckJudge="""",and(QuotesCheckJudge = ""primeiro"", QuotesCheckChallengeRecommendation1 &lt;&gt; """"),and(QuotesCheckJudge = ""segundo"", QuotesCheckChallengeRecommendation2 &lt;&gt; """")), filter('Quotes-Check'!A60:D60, 'Quotes-Check'!A60:D60&lt;&gt;""glugl"&amp;"uieie""),"""")"),2.0)</f>
        <v>2</v>
      </c>
      <c r="B60" s="22">
        <f>IFERROR(__xludf.DUMMYFUNCTION("""COMPUTED_VALUE"""),7.0)</f>
        <v>7</v>
      </c>
      <c r="C60" s="12" t="str">
        <f>IFERROR(__xludf.DUMMYFUNCTION("""COMPUTED_VALUE"""),"R1 / R2")</f>
        <v>R1 / R2</v>
      </c>
      <c r="D60" s="22" t="str">
        <f>IFERROR(__xludf.DUMMYFUNCTION("""COMPUTED_VALUE"""),"Tool / Technology")</f>
        <v>Tool / Technology</v>
      </c>
      <c r="E60" s="46" t="str">
        <f>IFERROR(__xludf.DUMMYFUNCTION("if(or(QuotesCheckJudge="""",and(QuotesCheckJudge = ""primeiro"", QuotesCheckChallengeRecommendation1 &lt;&gt; """")), filter('Quotes-Check'!E60:F60, 'Quotes-Check'!E60:F60&lt;&gt;""glugluieie""),if(and(QuotesCheckJudge = ""segundo"", QuotesCheckChallengeRecommendatio"&amp;"n2 &lt;&gt; """"), filter('Quotes-Check'!I60:J60, 'Quotes-Check'!I60:J60&lt;&gt;""glugluieie""),""""))"),"challenge")</f>
        <v>challenge</v>
      </c>
      <c r="F60" s="22" t="str">
        <f>IFERROR(__xludf.DUMMYFUNCTION("""COMPUTED_VALUE"""),"a parte realmente de colocar inicial tem esse choque de essa realidade aí dos alunos em que eles tem que sair de uma ferramenta que eles já estão lá com o sistema rodando e trazê-la para a nossa ferramenta.")</f>
        <v>a parte realmente de colocar inicial tem esse choque de essa realidade aí dos alunos em que eles tem que sair de uma ferramenta que eles já estão lá com o sistema rodando e trazê-la para a nossa ferramenta.</v>
      </c>
      <c r="G60" s="22" t="str">
        <f>if(QuotesCheckJudgeAbstract&lt;&gt;"",QuotesCheckJudgeAbstract,if(or(QuotesCheckJudge="",and(QuotesCheckJudge = "primeiro", QuotesCheckChallengeRecommendation1 &lt;&gt; "")), QuotesCheckAbstract1,if(and(QuotesCheckJudge = "segundo", QuotesCheckChallengeRecommendation2 &lt;&gt; ""), QuotesCheckAbstract2,"")))</f>
        <v>Students' initial difficult at having to switch from tools in which their applications were already working to the one adopted by the instructor.</v>
      </c>
    </row>
    <row r="61">
      <c r="A61" s="22">
        <f>IFERROR(__xludf.DUMMYFUNCTION("if(or(QuotesCheckJudge="""",and(QuotesCheckJudge = ""primeiro"", QuotesCheckChallengeRecommendation1 &lt;&gt; """"),and(QuotesCheckJudge = ""segundo"", QuotesCheckChallengeRecommendation2 &lt;&gt; """")), filter('Quotes-Check'!A61:D61, 'Quotes-Check'!A61:D61&lt;&gt;""glugl"&amp;"uieie""),"""")"),2.0)</f>
        <v>2</v>
      </c>
      <c r="B61" s="22">
        <f>IFERROR(__xludf.DUMMYFUNCTION("""COMPUTED_VALUE"""),8.0)</f>
        <v>8</v>
      </c>
      <c r="C61" s="12" t="str">
        <f>IFERROR(__xludf.DUMMYFUNCTION("""COMPUTED_VALUE"""),"R2 / R3")</f>
        <v>R2 / R3</v>
      </c>
      <c r="D61" s="22" t="str">
        <f>IFERROR(__xludf.DUMMYFUNCTION("""COMPUTED_VALUE"""),"Environment Setup")</f>
        <v>Environment Setup</v>
      </c>
      <c r="E61" s="46" t="str">
        <f>IFERROR(__xludf.DUMMYFUNCTION("if(or(QuotesCheckJudge="""",and(QuotesCheckJudge = ""primeiro"", QuotesCheckChallengeRecommendation1 &lt;&gt; """")), filter('Quotes-Check'!E61:F61, 'Quotes-Check'!E61:F61&lt;&gt;""glugluieie""),if(and(QuotesCheckJudge = ""segundo"", QuotesCheckChallengeRecommendatio"&amp;"n2 &lt;&gt; """"), filter('Quotes-Check'!I61:J61, 'Quotes-Check'!I61:J61&lt;&gt;""glugluieie""),""""))"),"challenge")</f>
        <v>challenge</v>
      </c>
      <c r="F61" s="22" t="str">
        <f>IFERROR(__xludf.DUMMYFUNCTION("""COMPUTED_VALUE"""),"um desafio que é convencer os alunos de dar importância a isso... eles tenham essa outra visão, desse aspecto da configuração do ambiente.")</f>
        <v>um desafio que é convencer os alunos de dar importância a isso... eles tenham essa outra visão, desse aspecto da configuração do ambiente.</v>
      </c>
      <c r="G61" s="22" t="str">
        <f>if(QuotesCheckJudgeAbstract&lt;&gt;"",QuotesCheckJudgeAbstract,if(or(QuotesCheckJudge="",and(QuotesCheckJudge = "primeiro", QuotesCheckChallengeRecommendation1 &lt;&gt; "")), QuotesCheckAbstract1,if(and(QuotesCheckJudge = "segundo", QuotesCheckChallengeRecommendation2 &lt;&gt; ""), QuotesCheckAbstract2,"")))</f>
        <v>The student has difficulty realizing the importance of setting the environment.</v>
      </c>
    </row>
    <row r="62">
      <c r="A62" s="22">
        <f>IFERROR(__xludf.DUMMYFUNCTION("if(or(QuotesCheckJudge="""",and(QuotesCheckJudge = ""primeiro"", QuotesCheckChallengeRecommendation1 &lt;&gt; """"),and(QuotesCheckJudge = ""segundo"", QuotesCheckChallengeRecommendation2 &lt;&gt; """")), filter('Quotes-Check'!A62:D62, 'Quotes-Check'!A62:D62&lt;&gt;""glugl"&amp;"uieie""),"""")"),2.0)</f>
        <v>2</v>
      </c>
      <c r="B62" s="22">
        <f>IFERROR(__xludf.DUMMYFUNCTION("""COMPUTED_VALUE"""),8.0)</f>
        <v>8</v>
      </c>
      <c r="C62" s="2" t="str">
        <f>IFERROR(__xludf.DUMMYFUNCTION("""COMPUTED_VALUE"""),"R2 / R3")</f>
        <v>R2 / R3</v>
      </c>
      <c r="D62" s="22" t="str">
        <f>IFERROR(__xludf.DUMMYFUNCTION("""COMPUTED_VALUE"""),"Environment Setup")</f>
        <v>Environment Setup</v>
      </c>
      <c r="E62" s="46" t="str">
        <f>IFERROR(__xludf.DUMMYFUNCTION("if(or(QuotesCheckJudge="""",and(QuotesCheckJudge = ""primeiro"", QuotesCheckChallengeRecommendation1 &lt;&gt; """")), filter('Quotes-Check'!E62:F62, 'Quotes-Check'!E62:F62&lt;&gt;""glugluieie""),if(and(QuotesCheckJudge = ""segundo"", QuotesCheckChallengeRecommendatio"&amp;"n2 &lt;&gt; """"), filter('Quotes-Check'!I62:J62, 'Quotes-Check'!I62:J62&lt;&gt;""glugluieie""),""""))"),"challenge")</f>
        <v>challenge</v>
      </c>
      <c r="F62" s="22" t="str">
        <f>IFERROR(__xludf.DUMMYFUNCTION("""COMPUTED_VALUE"""),"[...]quando eles chegam, muitos utilizam um outro ambiente[...] eles colocam o sistema lá e não tem que se preocupar muito com outros detalhes[...]A gente, realmente, solicita que eles façam essa migração para que eles tenham essa outra visão, desse aspec"&amp;"to da configuração do ambiente. Colocar ele em produção e manter com esse nosso sistema funcionando.[...] eu acho que pode ser encarado isso como um desafio, que é convencer os alunos de dar importância a isso, a importância deles conhecerem esses aspecto"&amp;"s também, não deixar isso tão transparente assim pra eles também.")</f>
        <v>[...]quando eles chegam, muitos utilizam um outro ambiente[...] eles colocam o sistema lá e não tem que se preocupar muito com outros detalhes[...]A gente, realmente, solicita que eles façam essa migração para que eles tenham essa outra visão, desse aspecto da configuração do ambiente. Colocar ele em produção e manter com esse nosso sistema funcionando.[...] eu acho que pode ser encarado isso como um desafio, que é convencer os alunos de dar importância a isso, a importância deles conhecerem esses aspectos também, não deixar isso tão transparente assim pra eles também.</v>
      </c>
      <c r="G62"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in making clear to students the importance of having a more realistic perspective of production.</v>
      </c>
    </row>
    <row r="63">
      <c r="A63" s="22">
        <f>IFERROR(__xludf.DUMMYFUNCTION("if(or(QuotesCheckJudge="""",and(QuotesCheckJudge = ""primeiro"", QuotesCheckChallengeRecommendation1 &lt;&gt; """"),and(QuotesCheckJudge = ""segundo"", QuotesCheckChallengeRecommendation2 &lt;&gt; """")), filter('Quotes-Check'!A63:D63, 'Quotes-Check'!A63:D63&lt;&gt;""glugl"&amp;"uieie""),"""")"),2.0)</f>
        <v>2</v>
      </c>
      <c r="B63" s="22">
        <f>IFERROR(__xludf.DUMMYFUNCTION("""COMPUTED_VALUE"""),9.0)</f>
        <v>9</v>
      </c>
      <c r="C63" s="2" t="str">
        <f>IFERROR(__xludf.DUMMYFUNCTION("""COMPUTED_VALUE"""),"R1 / R3")</f>
        <v>R1 / R3</v>
      </c>
      <c r="D63" s="22" t="str">
        <f>IFERROR(__xludf.DUMMYFUNCTION("""COMPUTED_VALUE"""),"Class Preparation")</f>
        <v>Class Preparation</v>
      </c>
      <c r="E63" s="46" t="str">
        <f>IFERROR(__xludf.DUMMYFUNCTION("if(or(QuotesCheckJudge="""",and(QuotesCheckJudge = ""primeiro"", QuotesCheckChallengeRecommendation1 &lt;&gt; """")), filter('Quotes-Check'!E63:F63, 'Quotes-Check'!E63:F63&lt;&gt;""glugluieie""),if(and(QuotesCheckJudge = ""segundo"", QuotesCheckChallengeRecommendatio"&amp;"n2 &lt;&gt; """"), filter('Quotes-Check'!I63:J63, 'Quotes-Check'!I63:J63&lt;&gt;""glugluieie""),""""))"),"challenge")</f>
        <v>challenge</v>
      </c>
      <c r="F63" s="22" t="str">
        <f>IFERROR(__xludf.DUMMYFUNCTION("""COMPUTED_VALUE"""),"uma editora parceira, inclusive, da diretoria, que trouxe um catálogo de livros para gente dar uma olhada e eu fui atrás, inclusive de um livro no tema, né? De sistemas corporativos, né, dessa parte de DevOps, e simplesmente, eu não encontrei no catálogo.")</f>
        <v>uma editora parceira, inclusive, da diretoria, que trouxe um catálogo de livros para gente dar uma olhada e eu fui atrás, inclusive de um livro no tema, né? De sistemas corporativos, né, dessa parte de DevOps, e simplesmente, eu não encontrei no catálogo.</v>
      </c>
      <c r="G63" s="22" t="str">
        <f>if(QuotesCheckJudgeAbstract&lt;&gt;"",QuotesCheckJudgeAbstract,if(or(QuotesCheckJudge="",and(QuotesCheckJudge = "primeiro", QuotesCheckChallengeRecommendation1 &lt;&gt; "")), QuotesCheckAbstract1,if(and(QuotesCheckJudge = "segundo", QuotesCheckChallengeRecommendation2 &lt;&gt; ""), QuotesCheckAbstract2,"")))</f>
        <v>Literature in the area of ​​enterprise systems related to DevOps is insufficient.</v>
      </c>
    </row>
    <row r="64">
      <c r="A64" s="22">
        <f>IFERROR(__xludf.DUMMYFUNCTION("if(or(QuotesCheckJudge="""",and(QuotesCheckJudge = ""primeiro"", QuotesCheckChallengeRecommendation1 &lt;&gt; """"),and(QuotesCheckJudge = ""segundo"", QuotesCheckChallengeRecommendation2 &lt;&gt; """")), filter('Quotes-Check'!A64:D64, 'Quotes-Check'!A64:D64&lt;&gt;""glugl"&amp;"uieie""),"""")"),2.0)</f>
        <v>2</v>
      </c>
      <c r="B64" s="22">
        <f>IFERROR(__xludf.DUMMYFUNCTION("""COMPUTED_VALUE"""),10.0)</f>
        <v>10</v>
      </c>
      <c r="C64" s="12" t="str">
        <f>IFERROR(__xludf.DUMMYFUNCTION("""COMPUTED_VALUE"""),"R1 / R2")</f>
        <v>R1 / R2</v>
      </c>
      <c r="D64" s="28" t="str">
        <f>IFERROR(__xludf.DUMMYFUNCTION("""COMPUTED_VALUE"""),"DevOps Concepts")</f>
        <v>DevOps Concepts</v>
      </c>
      <c r="E64" s="46" t="str">
        <f>IFERROR(__xludf.DUMMYFUNCTION("if(or(QuotesCheckJudge="""",and(QuotesCheckJudge = ""primeiro"", QuotesCheckChallengeRecommendation1 &lt;&gt; """")), filter('Quotes-Check'!E64:F64, 'Quotes-Check'!E64:F64&lt;&gt;""glugluieie""),if(and(QuotesCheckJudge = ""segundo"", QuotesCheckChallengeRecommendatio"&amp;"n2 &lt;&gt; """"), filter('Quotes-Check'!I64:J64, 'Quotes-Check'!I64:J64&lt;&gt;""glugluieie""),""""))"),"challenge")</f>
        <v>challenge</v>
      </c>
      <c r="F64" s="22" t="str">
        <f>IFERROR(__xludf.DUMMYFUNCTION("""COMPUTED_VALUE"""),"o conceito de entrega contínua [...] O difícil é pôr em prática [...] quando eles, em equipe, precisam lançar uma determinada funcionalidade e fazer com que ela não quebre o sistema")</f>
        <v>o conceito de entrega contínua [...] O difícil é pôr em prática [...] quando eles, em equipe, precisam lançar uma determinada funcionalidade e fazer com que ela não quebre o sistema</v>
      </c>
      <c r="G64"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for students to practice the concept of Continuous Delivery when it is necessary to add new features to the system without the build breaking.</v>
      </c>
    </row>
    <row r="65">
      <c r="A65" s="22">
        <f>IFERROR(__xludf.DUMMYFUNCTION("if(or(QuotesCheckJudge="""",and(QuotesCheckJudge = ""primeiro"", QuotesCheckChallengeRecommendation1 &lt;&gt; """"),and(QuotesCheckJudge = ""segundo"", QuotesCheckChallengeRecommendation2 &lt;&gt; """")), filter('Quotes-Check'!A65:D65, 'Quotes-Check'!A65:D65&lt;&gt;""glugl"&amp;"uieie""),"""")"),2.0)</f>
        <v>2</v>
      </c>
      <c r="B65" s="22">
        <f>IFERROR(__xludf.DUMMYFUNCTION("""COMPUTED_VALUE"""),11.0)</f>
        <v>11</v>
      </c>
      <c r="C65" s="12" t="str">
        <f>IFERROR(__xludf.DUMMYFUNCTION("""COMPUTED_VALUE"""),"R2 / R3")</f>
        <v>R2 / R3</v>
      </c>
      <c r="D65" s="22" t="str">
        <f>IFERROR(__xludf.DUMMYFUNCTION("""COMPUTED_VALUE"""),"Curriculum")</f>
        <v>Curriculum</v>
      </c>
      <c r="E65" s="46" t="str">
        <f>IFERROR(__xludf.DUMMYFUNCTION("if(or(QuotesCheckJudge="""",and(QuotesCheckJudge = ""primeiro"", QuotesCheckChallengeRecommendation1 &lt;&gt; """")), filter('Quotes-Check'!E65:F65, 'Quotes-Check'!E65:F65&lt;&gt;""glugluieie""),if(and(QuotesCheckJudge = ""segundo"", QuotesCheckChallengeRecommendatio"&amp;"n2 &lt;&gt; """"), filter('Quotes-Check'!I65:J65, 'Quotes-Check'!I65:J65&lt;&gt;""glugluieie""),""""))"),"recommendation")</f>
        <v>recommendation</v>
      </c>
      <c r="F65" s="22" t="str">
        <f>IFERROR(__xludf.DUMMYFUNCTION("""COMPUTED_VALUE"""),"Em um curso como o nosso, de desenvolvimento, ter uma disciplina dessas, acho  que é importante sim")</f>
        <v>Em um curso como o nosso, de desenvolvimento, ter uma disciplina dessas, acho  que é importante sim</v>
      </c>
      <c r="G65" s="22" t="str">
        <f>if(QuotesCheckJudgeAbstract&lt;&gt;"",QuotesCheckJudgeAbstract,if(or(QuotesCheckJudge="",and(QuotesCheckJudge = "primeiro", QuotesCheckChallengeRecommendation1 &lt;&gt; "")), QuotesCheckAbstract1,if(and(QuotesCheckJudge = "segundo", QuotesCheckChallengeRecommendation2 &lt;&gt; ""), QuotesCheckAbstract2,"")))</f>
        <v>DevOps deserves a discipline in the curriculum of courses focused on software development.</v>
      </c>
    </row>
    <row r="66">
      <c r="A66" s="22">
        <f>IFERROR(__xludf.DUMMYFUNCTION("if(or(QuotesCheckJudge="""",and(QuotesCheckJudge = ""primeiro"", QuotesCheckChallengeRecommendation1 &lt;&gt; """"),and(QuotesCheckJudge = ""segundo"", QuotesCheckChallengeRecommendation2 &lt;&gt; """")), filter('Quotes-Check'!A66:D66, 'Quotes-Check'!A66:D66&lt;&gt;""glugl"&amp;"uieie""),"""")"),2.0)</f>
        <v>2</v>
      </c>
      <c r="B66" s="22">
        <f>IFERROR(__xludf.DUMMYFUNCTION("""COMPUTED_VALUE"""),11.0)</f>
        <v>11</v>
      </c>
      <c r="C66" s="2" t="str">
        <f>IFERROR(__xludf.DUMMYFUNCTION("""COMPUTED_VALUE"""),"R2 / R3")</f>
        <v>R2 / R3</v>
      </c>
      <c r="D66" s="22" t="str">
        <f>IFERROR(__xludf.DUMMYFUNCTION("""COMPUTED_VALUE"""),"Curriculum")</f>
        <v>Curriculum</v>
      </c>
      <c r="E66" s="46" t="str">
        <f>IFERROR(__xludf.DUMMYFUNCTION("if(or(QuotesCheckJudge="""",and(QuotesCheckJudge = ""primeiro"", QuotesCheckChallengeRecommendation1 &lt;&gt; """")), filter('Quotes-Check'!E66:F66, 'Quotes-Check'!E66:F66&lt;&gt;""glugluieie""),if(and(QuotesCheckJudge = ""segundo"", QuotesCheckChallengeRecommendatio"&amp;"n2 &lt;&gt; """"), filter('Quotes-Check'!I66:J66, 'Quotes-Check'!I66:J66&lt;&gt;""glugluieie""),""""))"),"recommendation")</f>
        <v>recommendation</v>
      </c>
      <c r="F66" s="22" t="str">
        <f>IFERROR(__xludf.DUMMYFUNCTION("""COMPUTED_VALUE"""),"Se o curso é de desenvolvimento ou que envolve a parte de operação, é importante ter uma disciplina que centralize essas informações, uma disciplina, talvez lá pra frente, que reúna esses conceitos, já preparando mais o aluno pro mercado.[...]uma carga ho"&amp;"rária um pouco considerável, para ter essa dinâmica com os alunos.")</f>
        <v>Se o curso é de desenvolvimento ou que envolve a parte de operação, é importante ter uma disciplina que centralize essas informações, uma disciplina, talvez lá pra frente, que reúna esses conceitos, já preparando mais o aluno pro mercado.[...]uma carga horária um pouco considerável, para ter essa dinâmica com os alunos.</v>
      </c>
      <c r="G66" s="22" t="str">
        <f>if(QuotesCheckJudgeAbstract&lt;&gt;"",QuotesCheckJudgeAbstract,if(or(QuotesCheckJudge="",and(QuotesCheckJudge = "primeiro", QuotesCheckChallengeRecommendation1 &lt;&gt; "")), QuotesCheckAbstract1,if(and(QuotesCheckJudge = "segundo", QuotesCheckChallengeRecommendation2 &lt;&gt; ""), QuotesCheckAbstract2,"")))</f>
        <v>A discipline must have a considerable workload to centralize and harmonize development and operation information.</v>
      </c>
    </row>
    <row r="67">
      <c r="A67" s="22">
        <f>IFERROR(__xludf.DUMMYFUNCTION("if(or(QuotesCheckJudge="""",and(QuotesCheckJudge = ""primeiro"", QuotesCheckChallengeRecommendation1 &lt;&gt; """"),and(QuotesCheckJudge = ""segundo"", QuotesCheckChallengeRecommendation2 &lt;&gt; """")), filter('Quotes-Check'!A67:D67, 'Quotes-Check'!A67:D67&lt;&gt;""glugl"&amp;"uieie""),"""")"),2.0)</f>
        <v>2</v>
      </c>
      <c r="B67" s="22">
        <f>IFERROR(__xludf.DUMMYFUNCTION("""COMPUTED_VALUE"""),12.0)</f>
        <v>12</v>
      </c>
      <c r="C67" s="40" t="str">
        <f>IFERROR(__xludf.DUMMYFUNCTION("""COMPUTED_VALUE"""),"R1 / R3")</f>
        <v>R1 / R3</v>
      </c>
      <c r="D67" s="22" t="str">
        <f>IFERROR(__xludf.DUMMYFUNCTION("""COMPUTED_VALUE"""),"Assessment")</f>
        <v>Assessment</v>
      </c>
      <c r="E67" s="46" t="str">
        <f>IFERROR(__xludf.DUMMYFUNCTION("if(or(QuotesCheckJudge="""",and(QuotesCheckJudge = ""primeiro"", QuotesCheckChallengeRecommendation1 &lt;&gt; """")), filter('Quotes-Check'!E67:F67, 'Quotes-Check'!E67:F67&lt;&gt;""glugluieie""),if(and(QuotesCheckJudge = ""segundo"", QuotesCheckChallengeRecommendatio"&amp;"n2 &lt;&gt; """"), filter('Quotes-Check'!I67:J67, 'Quotes-Check'!I67:J67&lt;&gt;""glugluieie""),""""))"),"recommendation")</f>
        <v>recommendation</v>
      </c>
      <c r="F67" s="22" t="str">
        <f>IFERROR(__xludf.DUMMYFUNCTION("""COMPUTED_VALUE"""),"Eles utilizam o sistema e eu peço sempre pra que eles socializem. A gente tá fazendo nesse momento agora de ensino mais remoto, que eles socializem o que que eles fizeram, né? ... E quando a gente tá nesse momento de socialização, os alunos conseguem apro"&amp;"veitar bem, o ganho e conhecimento que uma outra equipe teve num aspecto que, às vezes, eles não não tinham percebido")</f>
        <v>Eles utilizam o sistema e eu peço sempre pra que eles socializem. A gente tá fazendo nesse momento agora de ensino mais remoto, que eles socializem o que que eles fizeram, né? ... E quando a gente tá nesse momento de socialização, os alunos conseguem aproveitar bem, o ganho e conhecimento que uma outra equipe teve num aspecto que, às vezes, eles não não tinham percebido</v>
      </c>
      <c r="G67" s="22" t="str">
        <f>if(QuotesCheckJudgeAbstract&lt;&gt;"",QuotesCheckJudgeAbstract,if(or(QuotesCheckJudge="",and(QuotesCheckJudge = "primeiro", QuotesCheckChallengeRecommendation1 &lt;&gt; "")), QuotesCheckAbstract1,if(and(QuotesCheckJudge = "segundo", QuotesCheckChallengeRecommendation2 &lt;&gt; ""), QuotesCheckAbstract2,"")))</f>
        <v>Socializing knowledge acquired in practical activities is essential for learning.</v>
      </c>
    </row>
    <row r="68">
      <c r="A68" s="22">
        <f>IFERROR(__xludf.DUMMYFUNCTION("if(or(QuotesCheckJudge="""",and(QuotesCheckJudge = ""primeiro"", QuotesCheckChallengeRecommendation1 &lt;&gt; """"),and(QuotesCheckJudge = ""segundo"", QuotesCheckChallengeRecommendation2 &lt;&gt; """")), filter('Quotes-Check'!A68:D68, 'Quotes-Check'!A68:D68&lt;&gt;""glugl"&amp;"uieie""),"""")"),2.0)</f>
        <v>2</v>
      </c>
      <c r="B68" s="22">
        <f>IFERROR(__xludf.DUMMYFUNCTION("""COMPUTED_VALUE"""),13.0)</f>
        <v>13</v>
      </c>
      <c r="C68" s="40" t="str">
        <f>IFERROR(__xludf.DUMMYFUNCTION("""COMPUTED_VALUE"""),"R1 / R2")</f>
        <v>R1 / R2</v>
      </c>
      <c r="D68" s="22" t="str">
        <f>IFERROR(__xludf.DUMMYFUNCTION("""COMPUTED_VALUE"""),"Tool / Technology")</f>
        <v>Tool / Technology</v>
      </c>
      <c r="E68" s="46" t="str">
        <f>IFERROR(__xludf.DUMMYFUNCTION("if(or(QuotesCheckJudge="""",and(QuotesCheckJudge = ""primeiro"", QuotesCheckChallengeRecommendation1 &lt;&gt; """")), filter('Quotes-Check'!E68:F68, 'Quotes-Check'!E68:F68&lt;&gt;""glugluieie""),if(and(QuotesCheckJudge = ""segundo"", QuotesCheckChallengeRecommendatio"&amp;"n2 &lt;&gt; """"), filter('Quotes-Check'!I68:J68, 'Quotes-Check'!I68:J68&lt;&gt;""glugluieie""),""""))"),"recommendation")</f>
        <v>recommendation</v>
      </c>
      <c r="F68" s="22" t="str">
        <f>IFERROR(__xludf.DUMMYFUNCTION("""COMPUTED_VALUE"""),"Eles optam por [...] conseguir colocar esse sistema no ar pra que um cliente veja, né? O cliente nesse aspecto, são os próprios professores que estão avaliando.")</f>
        <v>Eles optam por [...] conseguir colocar esse sistema no ar pra que um cliente veja, né? O cliente nesse aspecto, são os próprios professores que estão avaliando.</v>
      </c>
      <c r="G68" s="22" t="str">
        <f>if(QuotesCheckJudgeAbstract&lt;&gt;"",QuotesCheckJudgeAbstract,if(or(QuotesCheckJudge="",and(QuotesCheckJudge = "primeiro", QuotesCheckChallengeRecommendation1 &lt;&gt; "")), QuotesCheckAbstract1,if(and(QuotesCheckJudge = "segundo", QuotesCheckChallengeRecommendation2 &lt;&gt; ""), QuotesCheckAbstract2,"")))</f>
        <v>Adopt a more professional approach in which teachers act as clients.</v>
      </c>
    </row>
    <row r="69">
      <c r="A69" s="22" t="str">
        <f>IFERROR(__xludf.DUMMYFUNCTION("if(or(QuotesCheckJudge="""",and(QuotesCheckJudge = ""primeiro"", QuotesCheckChallengeRecommendation1 &lt;&gt; """"),and(QuotesCheckJudge = ""segundo"", QuotesCheckChallengeRecommendation2 &lt;&gt; """")), filter('Quotes-Check'!A69:D69, 'Quotes-Check'!A69:D69&lt;&gt;""glugl"&amp;"uieie""),"""")"),"")</f>
        <v/>
      </c>
      <c r="B69" s="22"/>
      <c r="C69" s="12"/>
      <c r="D69" s="22"/>
      <c r="E69" s="46" t="str">
        <f>IFERROR(__xludf.DUMMYFUNCTION("if(or(QuotesCheckJudge="""",and(QuotesCheckJudge = ""primeiro"", QuotesCheckChallengeRecommendation1 &lt;&gt; """")), filter('Quotes-Check'!E69:F69, 'Quotes-Check'!E69:F69&lt;&gt;""glugluieie""),if(and(QuotesCheckJudge = ""segundo"", QuotesCheckChallengeRecommendatio"&amp;"n2 &lt;&gt; """"), filter('Quotes-Check'!I69:J69, 'Quotes-Check'!I69:J69&lt;&gt;""glugluieie""),""""))"),"")</f>
        <v/>
      </c>
      <c r="F69" s="22"/>
      <c r="G69" s="22" t="str">
        <f>if(QuotesCheckJudgeAbstract&lt;&gt;"",QuotesCheckJudgeAbstract,if(or(QuotesCheckJudge="",and(QuotesCheckJudge = "primeiro", QuotesCheckChallengeRecommendation1 &lt;&gt; "")), QuotesCheckAbstract1,if(and(QuotesCheckJudge = "segundo", QuotesCheckChallengeRecommendation2 &lt;&gt; ""), QuotesCheckAbstract2,"")))</f>
        <v/>
      </c>
    </row>
    <row r="70">
      <c r="A70" s="22">
        <f>IFERROR(__xludf.DUMMYFUNCTION("if(or(QuotesCheckJudge="""",and(QuotesCheckJudge = ""primeiro"", QuotesCheckChallengeRecommendation1 &lt;&gt; """"),and(QuotesCheckJudge = ""segundo"", QuotesCheckChallengeRecommendation2 &lt;&gt; """")), filter('Quotes-Check'!A70:D70, 'Quotes-Check'!A70:D70&lt;&gt;""glugl"&amp;"uieie""),"""")"),2.0)</f>
        <v>2</v>
      </c>
      <c r="B70" s="22">
        <f>IFERROR(__xludf.DUMMYFUNCTION("""COMPUTED_VALUE"""),14.0)</f>
        <v>14</v>
      </c>
      <c r="C70" s="12" t="str">
        <f>IFERROR(__xludf.DUMMYFUNCTION("""COMPUTED_VALUE"""),"R2 / R3")</f>
        <v>R2 / R3</v>
      </c>
      <c r="D70" s="22" t="str">
        <f>IFERROR(__xludf.DUMMYFUNCTION("""COMPUTED_VALUE"""),"Class Preparation")</f>
        <v>Class Preparation</v>
      </c>
      <c r="E70" s="46" t="str">
        <f>IFERROR(__xludf.DUMMYFUNCTION("if(or(QuotesCheckJudge="""",and(QuotesCheckJudge = ""primeiro"", QuotesCheckChallengeRecommendation1 &lt;&gt; """")), filter('Quotes-Check'!E70:F70, 'Quotes-Check'!E70:F70&lt;&gt;""glugluieie""),if(and(QuotesCheckJudge = ""segundo"", QuotesCheckChallengeRecommendatio"&amp;"n2 &lt;&gt; """"), filter('Quotes-Check'!I70:J70, 'Quotes-Check'!I70:J70&lt;&gt;""glugluieie""),""""))"),"challenge")</f>
        <v>challenge</v>
      </c>
      <c r="F70" s="22" t="str">
        <f>IFERROR(__xludf.DUMMYFUNCTION("""COMPUTED_VALUE""")," os desafios que eu posso citar é justamente essa parte aí de você conseguir demonstrar, né, demonstrar pra eles toda essa esse nosso ferramental.")</f>
        <v> os desafios que eu posso citar é justamente essa parte aí de você conseguir demonstrar, né, demonstrar pra eles toda essa esse nosso ferramental.</v>
      </c>
      <c r="G70" s="22" t="str">
        <f>if(QuotesCheckJudgeAbstract&lt;&gt;"",QuotesCheckJudgeAbstract,if(or(QuotesCheckJudge="",and(QuotesCheckJudge = "primeiro", QuotesCheckChallengeRecommendation1 &lt;&gt; "")), QuotesCheckAbstract1,if(and(QuotesCheckJudge = "segundo", QuotesCheckChallengeRecommendation2 &lt;&gt; ""), QuotesCheckAbstract2,"")))</f>
        <v>There are many tools for working with DevOps.</v>
      </c>
    </row>
    <row r="71">
      <c r="A71" s="22">
        <f>IFERROR(__xludf.DUMMYFUNCTION("if(or(QuotesCheckJudge="""",and(QuotesCheckJudge = ""primeiro"", QuotesCheckChallengeRecommendation1 &lt;&gt; """"),and(QuotesCheckJudge = ""segundo"", QuotesCheckChallengeRecommendation2 &lt;&gt; """")), filter('Quotes-Check'!A71:D71, 'Quotes-Check'!A71:D71&lt;&gt;""glugl"&amp;"uieie""),"""")"),2.0)</f>
        <v>2</v>
      </c>
      <c r="B71" s="22">
        <f>IFERROR(__xludf.DUMMYFUNCTION("""COMPUTED_VALUE"""),14.0)</f>
        <v>14</v>
      </c>
      <c r="C71" s="12" t="str">
        <f>IFERROR(__xludf.DUMMYFUNCTION("""COMPUTED_VALUE"""),"R2 / R3")</f>
        <v>R2 / R3</v>
      </c>
      <c r="D71" s="22" t="str">
        <f>IFERROR(__xludf.DUMMYFUNCTION("""COMPUTED_VALUE"""),"Class Preparation")</f>
        <v>Class Preparation</v>
      </c>
      <c r="E71" s="46" t="str">
        <f>IFERROR(__xludf.DUMMYFUNCTION("if(or(QuotesCheckJudge="""",and(QuotesCheckJudge = ""primeiro"", QuotesCheckChallengeRecommendation1 &lt;&gt; """")), filter('Quotes-Check'!E71:F71, 'Quotes-Check'!E71:F71&lt;&gt;""glugluieie""),if(and(QuotesCheckJudge = ""segundo"", QuotesCheckChallengeRecommendatio"&amp;"n2 &lt;&gt; """"), filter('Quotes-Check'!I71:J71, 'Quotes-Check'!I71:J71&lt;&gt;""glugluieie""),""""))"),"recommendation")</f>
        <v>recommendation</v>
      </c>
      <c r="F71" s="22" t="str">
        <f>IFERROR(__xludf.DUMMYFUNCTION("""COMPUTED_VALUE"""),"Tendo esse sistema já no ar, eu acredito também que seja um outro ganho, por quê? Porque na medida que você vai avançando nos temas, você consegue já colocar ali “olhe, esse aspecto aqui que a gente tá trabalhando, vocês vão ter já contemplado no sistema "&amp;"por meio disso, disso e disso”.")</f>
        <v>Tendo esse sistema já no ar, eu acredito também que seja um outro ganho, por quê? Porque na medida que você vai avançando nos temas, você consegue já colocar ali “olhe, esse aspecto aqui que a gente tá trabalhando, vocês vão ter já contemplado no sistema por meio disso, disso e disso”.</v>
      </c>
      <c r="G71" s="22" t="str">
        <f>if(QuotesCheckJudgeAbstract&lt;&gt;"",QuotesCheckJudgeAbstract,if(or(QuotesCheckJudge="",and(QuotesCheckJudge = "primeiro", QuotesCheckChallengeRecommendation1 &lt;&gt; "")), QuotesCheckAbstract1,if(and(QuotesCheckJudge = "segundo", QuotesCheckChallengeRecommendation2 &lt;&gt; ""), QuotesCheckAbstract2,"")))</f>
        <v>Using a learning tool helps in DevOps teaching.</v>
      </c>
    </row>
    <row r="72">
      <c r="A72" s="22">
        <f>IFERROR(__xludf.DUMMYFUNCTION("if(or(QuotesCheckJudge="""",and(QuotesCheckJudge = ""primeiro"", QuotesCheckChallengeRecommendation1 &lt;&gt; """"),and(QuotesCheckJudge = ""segundo"", QuotesCheckChallengeRecommendation2 &lt;&gt; """")), filter('Quotes-Check'!A72:D72, 'Quotes-Check'!A72:D72&lt;&gt;""glugl"&amp;"uieie""),"""")"),2.0)</f>
        <v>2</v>
      </c>
      <c r="B72" s="22">
        <f>IFERROR(__xludf.DUMMYFUNCTION("""COMPUTED_VALUE"""),14.0)</f>
        <v>14</v>
      </c>
      <c r="C72" s="2" t="str">
        <f>IFERROR(__xludf.DUMMYFUNCTION("""COMPUTED_VALUE"""),"R2 / R3")</f>
        <v>R2 / R3</v>
      </c>
      <c r="D72" s="22" t="str">
        <f>IFERROR(__xludf.DUMMYFUNCTION("""COMPUTED_VALUE"""),"Class Preparation")</f>
        <v>Class Preparation</v>
      </c>
      <c r="E72" s="46" t="str">
        <f>IFERROR(__xludf.DUMMYFUNCTION("if(or(QuotesCheckJudge="""",and(QuotesCheckJudge = ""primeiro"", QuotesCheckChallengeRecommendation1 &lt;&gt; """")), filter('Quotes-Check'!E72:F72, 'Quotes-Check'!E72:F72&lt;&gt;""glugluieie""),if(and(QuotesCheckJudge = ""segundo"", QuotesCheckChallengeRecommendatio"&amp;"n2 &lt;&gt; """"), filter('Quotes-Check'!I72:J72, 'Quotes-Check'!I72:J72&lt;&gt;""glugluieie""),""""))"),"challenge")</f>
        <v>challenge</v>
      </c>
      <c r="F72" s="22" t="str">
        <f>IFERROR(__xludf.DUMMYFUNCTION("""COMPUTED_VALUE"""),"[...]acho que é um desafio também, nesse sentido de você conseguir associar o conteúdo da aula com a essa visão, assim, teórica, com os exemplos daquilo que envolve na prática deles.")</f>
        <v>[...]acho que é um desafio também, nesse sentido de você conseguir associar o conteúdo da aula com a essa visão, assim, teórica, com os exemplos daquilo que envolve na prática deles.</v>
      </c>
      <c r="G72"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in making the association between theory and practice.</v>
      </c>
    </row>
    <row r="73">
      <c r="A73" s="22">
        <f>IFERROR(__xludf.DUMMYFUNCTION("if(or(QuotesCheckJudge="""",and(QuotesCheckJudge = ""primeiro"", QuotesCheckChallengeRecommendation1 &lt;&gt; """"),and(QuotesCheckJudge = ""segundo"", QuotesCheckChallengeRecommendation2 &lt;&gt; """")), filter('Quotes-Check'!A73:D73, 'Quotes-Check'!A73:D73&lt;&gt;""glugl"&amp;"uieie""),"""")"),2.0)</f>
        <v>2</v>
      </c>
      <c r="B73" s="22">
        <f>IFERROR(__xludf.DUMMYFUNCTION("""COMPUTED_VALUE"""),15.0)</f>
        <v>15</v>
      </c>
      <c r="C73" s="40" t="str">
        <f>IFERROR(__xludf.DUMMYFUNCTION("""COMPUTED_VALUE"""),"R1 / R3")</f>
        <v>R1 / R3</v>
      </c>
      <c r="D73" s="22" t="str">
        <f>IFERROR(__xludf.DUMMYFUNCTION("""COMPUTED_VALUE"""),"DevOps Concepts")</f>
        <v>DevOps Concepts</v>
      </c>
      <c r="E73" s="46" t="str">
        <f>IFERROR(__xludf.DUMMYFUNCTION("if(or(QuotesCheckJudge="""",and(QuotesCheckJudge = ""primeiro"", QuotesCheckChallengeRecommendation1 &lt;&gt; """")), filter('Quotes-Check'!E73:F73, 'Quotes-Check'!E73:F73&lt;&gt;""glugluieie""),if(and(QuotesCheckJudge = ""segundo"", QuotesCheckChallengeRecommendatio"&amp;"n2 &lt;&gt; """"), filter('Quotes-Check'!I73:J73, 'Quotes-Check'!I73:J73&lt;&gt;""glugluieie""),""""))"),"recommendation")</f>
        <v>recommendation</v>
      </c>
      <c r="F73" s="22" t="str">
        <f>IFERROR(__xludf.DUMMYFUNCTION("""COMPUTED_VALUE"""),"os aspectos que a gente aborda de integração contínua, [...] utilização das ferramentas que a gente usa no ambiente, no dia-a-dia, essas ferramentas que facilitam o desenvolvimento que agilizam mais a entrega; esse é um dos tocs que a gente tem, né? Na di"&amp;"sciplina, acredito que esses temas devem fazer parte do currículo deles,eles devem ter contato com essa temática aí")</f>
        <v>os aspectos que a gente aborda de integração contínua, [...] utilização das ferramentas que a gente usa no ambiente, no dia-a-dia, essas ferramentas que facilitam o desenvolvimento que agilizam mais a entrega; esse é um dos tocs que a gente tem, né? Na disciplina, acredito que esses temas devem fazer parte do currículo deles,eles devem ter contato com essa temática aí</v>
      </c>
      <c r="G73" s="22" t="str">
        <f>if(QuotesCheckJudgeAbstract&lt;&gt;"",QuotesCheckJudgeAbstract,if(or(QuotesCheckJudge="",and(QuotesCheckJudge = "primeiro", QuotesCheckChallengeRecommendation1 &lt;&gt; "")), QuotesCheckAbstract1,if(and(QuotesCheckJudge = "segundo", QuotesCheckChallengeRecommendation2 &lt;&gt; ""), QuotesCheckAbstract2,"")))</f>
        <v>The Continuous Integration and industry tools must be in the curricula.</v>
      </c>
    </row>
    <row r="74">
      <c r="A74" s="22">
        <f>IFERROR(__xludf.DUMMYFUNCTION("if(or(QuotesCheckJudge="""",and(QuotesCheckJudge = ""primeiro"", QuotesCheckChallengeRecommendation1 &lt;&gt; """"),and(QuotesCheckJudge = ""segundo"", QuotesCheckChallengeRecommendation2 &lt;&gt; """")), filter('Quotes-Check'!A74:D74, 'Quotes-Check'!A74:D74&lt;&gt;""glugl"&amp;"uieie""),"""")"),2.0)</f>
        <v>2</v>
      </c>
      <c r="B74" s="22">
        <f>IFERROR(__xludf.DUMMYFUNCTION("""COMPUTED_VALUE"""),16.0)</f>
        <v>16</v>
      </c>
      <c r="C74" s="2" t="str">
        <f>IFERROR(__xludf.DUMMYFUNCTION("""COMPUTED_VALUE"""),"R1 / R2")</f>
        <v>R1 / R2</v>
      </c>
      <c r="D74" s="22" t="str">
        <f>IFERROR(__xludf.DUMMYFUNCTION("""COMPUTED_VALUE"""),"Pedagogy")</f>
        <v>Pedagogy</v>
      </c>
      <c r="E74" s="46" t="str">
        <f>IFERROR(__xludf.DUMMYFUNCTION("if(or(QuotesCheckJudge="""",and(QuotesCheckJudge = ""primeiro"", QuotesCheckChallengeRecommendation1 &lt;&gt; """")), filter('Quotes-Check'!E74:F74, 'Quotes-Check'!E74:F74&lt;&gt;""glugluieie""),if(and(QuotesCheckJudge = ""segundo"", QuotesCheckChallengeRecommendatio"&amp;"n2 &lt;&gt; """"), filter('Quotes-Check'!I74:J74, 'Quotes-Check'!I74:J74&lt;&gt;""glugluieie""),""""))"),"challenge")</f>
        <v>challenge</v>
      </c>
      <c r="F74" s="22" t="str">
        <f>IFERROR(__xludf.DUMMYFUNCTION("""COMPUTED_VALUE"""),"Dificuldade maior mesmo, que eu posso ressaltar, é justamente a estruturação, realmente, talvez da sequência das aulas por não ter esse material que que norteia,")</f>
        <v>Dificuldade maior mesmo, que eu posso ressaltar, é justamente a estruturação, realmente, talvez da sequência das aulas por não ter esse material que que norteia,</v>
      </c>
      <c r="G74"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in structuring classes due to lack of reference material.</v>
      </c>
    </row>
    <row r="75">
      <c r="A75" s="22">
        <f>IFERROR(__xludf.DUMMYFUNCTION("if(or(QuotesCheckJudge="""",and(QuotesCheckJudge = ""primeiro"", QuotesCheckChallengeRecommendation1 &lt;&gt; """"),and(QuotesCheckJudge = ""segundo"", QuotesCheckChallengeRecommendation2 &lt;&gt; """")), filter('Quotes-Check'!A75:D75, 'Quotes-Check'!A75:D75&lt;&gt;""glugl"&amp;"uieie""),"""")"),2.0)</f>
        <v>2</v>
      </c>
      <c r="B75" s="22">
        <f>IFERROR(__xludf.DUMMYFUNCTION("""COMPUTED_VALUE"""),16.0)</f>
        <v>16</v>
      </c>
      <c r="C75" s="40" t="str">
        <f>IFERROR(__xludf.DUMMYFUNCTION("""COMPUTED_VALUE"""),"R1 / R2")</f>
        <v>R1 / R2</v>
      </c>
      <c r="D75" s="22" t="str">
        <f>IFERROR(__xludf.DUMMYFUNCTION("""COMPUTED_VALUE"""),"Pedagogy")</f>
        <v>Pedagogy</v>
      </c>
      <c r="E75" s="46" t="str">
        <f>IFERROR(__xludf.DUMMYFUNCTION("if(or(QuotesCheckJudge="""",and(QuotesCheckJudge = ""primeiro"", QuotesCheckChallengeRecommendation1 &lt;&gt; """")), filter('Quotes-Check'!E75:F75, 'Quotes-Check'!E75:F75&lt;&gt;""glugluieie""),if(and(QuotesCheckJudge = ""segundo"", QuotesCheckChallengeRecommendatio"&amp;"n2 &lt;&gt; """"), filter('Quotes-Check'!I75:J75, 'Quotes-Check'!I75:J75&lt;&gt;""glugluieie""),""""))"),"recommendation")</f>
        <v>recommendation</v>
      </c>
      <c r="F75" s="22" t="str">
        <f>IFERROR(__xludf.DUMMYFUNCTION("""COMPUTED_VALUE"""),"Então, didaticamente, pedagogicamente, lecionar dessa maneira, com a abordagem mais prática, eu acho que é mais proveitosa.")</f>
        <v>Então, didaticamente, pedagogicamente, lecionar dessa maneira, com a abordagem mais prática, eu acho que é mais proveitosa.</v>
      </c>
      <c r="G75" s="22" t="str">
        <f>if(QuotesCheckJudgeAbstract&lt;&gt;"",QuotesCheckJudgeAbstract,if(or(QuotesCheckJudge="",and(QuotesCheckJudge = "primeiro", QuotesCheckChallengeRecommendation1 &lt;&gt; "")), QuotesCheckAbstract1,if(and(QuotesCheckJudge = "segundo", QuotesCheckChallengeRecommendation2 &lt;&gt; ""), QuotesCheckAbstract2,"")))</f>
        <v>Use a practical approach.</v>
      </c>
    </row>
    <row r="76">
      <c r="A76" s="22">
        <f>IFERROR(__xludf.DUMMYFUNCTION("if(or(QuotesCheckJudge="""",and(QuotesCheckJudge = ""primeiro"", QuotesCheckChallengeRecommendation1 &lt;&gt; """"),and(QuotesCheckJudge = ""segundo"", QuotesCheckChallengeRecommendation2 &lt;&gt; """")), filter('Quotes-Check'!A76:D76, 'Quotes-Check'!A76:D76&lt;&gt;""glugl"&amp;"uieie""),"""")"),3.0)</f>
        <v>3</v>
      </c>
      <c r="B76" s="22">
        <f>IFERROR(__xludf.DUMMYFUNCTION("""COMPUTED_VALUE"""),1.0)</f>
        <v>1</v>
      </c>
      <c r="C76" s="40" t="str">
        <f>IFERROR(__xludf.DUMMYFUNCTION("""COMPUTED_VALUE"""),"R1 / R2")</f>
        <v>R1 / R2</v>
      </c>
      <c r="D76" s="22" t="str">
        <f>IFERROR(__xludf.DUMMYFUNCTION("""COMPUTED_VALUE"""),"General Challenges and Recommendations")</f>
        <v>General Challenges and Recommendations</v>
      </c>
      <c r="E76" s="46" t="str">
        <f>IFERROR(__xludf.DUMMYFUNCTION("if(or(QuotesCheckJudge="""",and(QuotesCheckJudge = ""primeiro"", QuotesCheckChallengeRecommendation1 &lt;&gt; """")), filter('Quotes-Check'!E76:F76, 'Quotes-Check'!E76:F76&lt;&gt;""glugluieie""),if(and(QuotesCheckJudge = ""segundo"", QuotesCheckChallengeRecommendatio"&amp;"n2 &lt;&gt; """"), filter('Quotes-Check'!I76:J76, 'Quotes-Check'!I76:J76&lt;&gt;""glugluieie""),""""))"),"recommendation")</f>
        <v>recommendation</v>
      </c>
      <c r="F76" s="22" t="str">
        <f>IFERROR(__xludf.DUMMYFUNCTION("""COMPUTED_VALUE"""),"a mesma disciplina de DevOps hoje ela se aplica na instituição em que eu leciono em relação a turmas voltadas para segurança e gestão de vulnerabilidades e turmas voltadas para desenvolvimento e construção de aplicações")</f>
        <v>a mesma disciplina de DevOps hoje ela se aplica na instituição em que eu leciono em relação a turmas voltadas para segurança e gestão de vulnerabilidades e turmas voltadas para desenvolvimento e construção de aplicações</v>
      </c>
      <c r="G76" s="22" t="str">
        <f>if(QuotesCheckJudgeAbstract&lt;&gt;"",QuotesCheckJudgeAbstract,if(or(QuotesCheckJudge="",and(QuotesCheckJudge = "primeiro", QuotesCheckChallengeRecommendation1 &lt;&gt; "")), QuotesCheckAbstract1,if(and(QuotesCheckJudge = "segundo", QuotesCheckChallengeRecommendation2 &lt;&gt; ""), QuotesCheckAbstract2,"")))</f>
        <v>You can use the same discipline of DevOps for operation groups focused on safety and development groups.</v>
      </c>
    </row>
    <row r="77">
      <c r="A77" s="22">
        <f>IFERROR(__xludf.DUMMYFUNCTION("if(or(QuotesCheckJudge="""",and(QuotesCheckJudge = ""primeiro"", QuotesCheckChallengeRecommendation1 &lt;&gt; """"),and(QuotesCheckJudge = ""segundo"", QuotesCheckChallengeRecommendation2 &lt;&gt; """")), filter('Quotes-Check'!A77:D77, 'Quotes-Check'!A77:D77&lt;&gt;""glugl"&amp;"uieie""),"""")"),3.0)</f>
        <v>3</v>
      </c>
      <c r="B77" s="22">
        <f>IFERROR(__xludf.DUMMYFUNCTION("""COMPUTED_VALUE"""),1.0)</f>
        <v>1</v>
      </c>
      <c r="C77" s="40" t="str">
        <f>IFERROR(__xludf.DUMMYFUNCTION("""COMPUTED_VALUE"""),"R1 / R2")</f>
        <v>R1 / R2</v>
      </c>
      <c r="D77" s="22" t="str">
        <f>IFERROR(__xludf.DUMMYFUNCTION("""COMPUTED_VALUE"""),"General Challenges and Recommendations")</f>
        <v>General Challenges and Recommendations</v>
      </c>
      <c r="E77" s="46" t="str">
        <f>IFERROR(__xludf.DUMMYFUNCTION("if(or(QuotesCheckJudge="""",and(QuotesCheckJudge = ""primeiro"", QuotesCheckChallengeRecommendation1 &lt;&gt; """")), filter('Quotes-Check'!E77:F77, 'Quotes-Check'!E77:F77&lt;&gt;""glugluieie""),if(and(QuotesCheckJudge = ""segundo"", QuotesCheckChallengeRecommendatio"&amp;"n2 &lt;&gt; """"), filter('Quotes-Check'!I77:J77, 'Quotes-Check'!I77:J77&lt;&gt;""glugluieie""),""""))"),"recommendation")</f>
        <v>recommendation</v>
      </c>
      <c r="F77" s="22" t="str">
        <f>IFERROR(__xludf.DUMMYFUNCTION("""COMPUTED_VALUE"""),"em DevOps [...] as turmas de segurança elas estão muito mais em um contexto de entender o que representa do ponto de vista de gestão de vulnerabilidade e de arquitetura, de rede em relação a nuvem,")</f>
        <v>em DevOps [...] as turmas de segurança elas estão muito mais em um contexto de entender o que representa do ponto de vista de gestão de vulnerabilidade e de arquitetura, de rede em relação a nuvem,</v>
      </c>
      <c r="G77" s="22" t="str">
        <f>if(QuotesCheckJudgeAbstract&lt;&gt;"",QuotesCheckJudgeAbstract,if(or(QuotesCheckJudge="",and(QuotesCheckJudge = "primeiro", QuotesCheckChallengeRecommendation1 &lt;&gt; "")), QuotesCheckAbstract1,if(and(QuotesCheckJudge = "segundo", QuotesCheckChallengeRecommendation2 &lt;&gt; ""), QuotesCheckAbstract2,"")))</f>
        <v>Teach the part of cloud vulnerability, architecture, and network management to the security classes in DevOps.</v>
      </c>
    </row>
    <row r="78">
      <c r="A78" s="22">
        <f>IFERROR(__xludf.DUMMYFUNCTION("if(or(QuotesCheckJudge="""",and(QuotesCheckJudge = ""primeiro"", QuotesCheckChallengeRecommendation1 &lt;&gt; """"),and(QuotesCheckJudge = ""segundo"", QuotesCheckChallengeRecommendation2 &lt;&gt; """")), filter('Quotes-Check'!A78:D78, 'Quotes-Check'!A78:D78&lt;&gt;""glugl"&amp;"uieie""),"""")"),3.0)</f>
        <v>3</v>
      </c>
      <c r="B78" s="22">
        <f>IFERROR(__xludf.DUMMYFUNCTION("""COMPUTED_VALUE"""),1.0)</f>
        <v>1</v>
      </c>
      <c r="C78" s="40" t="str">
        <f>IFERROR(__xludf.DUMMYFUNCTION("""COMPUTED_VALUE"""),"R1 / R2")</f>
        <v>R1 / R2</v>
      </c>
      <c r="D78" s="22" t="str">
        <f>IFERROR(__xludf.DUMMYFUNCTION("""COMPUTED_VALUE"""),"General Challenges and Recommendations")</f>
        <v>General Challenges and Recommendations</v>
      </c>
      <c r="E78" s="46" t="str">
        <f>IFERROR(__xludf.DUMMYFUNCTION("if(or(QuotesCheckJudge="""",and(QuotesCheckJudge = ""primeiro"", QuotesCheckChallengeRecommendation1 &lt;&gt; """")), filter('Quotes-Check'!E78:F78, 'Quotes-Check'!E78:F78&lt;&gt;""glugluieie""),if(and(QuotesCheckJudge = ""segundo"", QuotesCheckChallengeRecommendatio"&amp;"n2 &lt;&gt; """"), filter('Quotes-Check'!I78:J78, 'Quotes-Check'!I78:J78&lt;&gt;""glugluieie""),""""))"),"recommendation")</f>
        <v>recommendation</v>
      </c>
      <c r="F78" s="22" t="str">
        <f>IFERROR(__xludf.DUMMYFUNCTION("""COMPUTED_VALUE"""),"[...] turmas de desenvolvimento [...] querem entender melhor a questão do DevOps relacionado com processos de delivery contínuo ou como aquilo se traduz na prática e em ferramentas e modelos de entrega que agilizem na construção de aplicações")</f>
        <v>[...] turmas de desenvolvimento [...] querem entender melhor a questão do DevOps relacionado com processos de delivery contínuo ou como aquilo se traduz na prática e em ferramentas e modelos de entrega que agilizem na construção de aplicações</v>
      </c>
      <c r="G78" s="22" t="str">
        <f>if(QuotesCheckJudgeAbstract&lt;&gt;"",QuotesCheckJudgeAbstract,if(or(QuotesCheckJudge="",and(QuotesCheckJudge = "primeiro", QuotesCheckChallengeRecommendation1 &lt;&gt; "")), QuotesCheckAbstract1,if(and(QuotesCheckJudge = "segundo", QuotesCheckChallengeRecommendation2 &lt;&gt; ""), QuotesCheckAbstract2,"")))</f>
        <v>Teach continuous delivery in a more practical context for development classes, using tools and delivery models.</v>
      </c>
    </row>
    <row r="79">
      <c r="A79" s="22">
        <f>IFERROR(__xludf.DUMMYFUNCTION("if(or(QuotesCheckJudge="""",and(QuotesCheckJudge = ""primeiro"", QuotesCheckChallengeRecommendation1 &lt;&gt; """"),and(QuotesCheckJudge = ""segundo"", QuotesCheckChallengeRecommendation2 &lt;&gt; """")), filter('Quotes-Check'!A79:D79, 'Quotes-Check'!A79:D79&lt;&gt;""glugl"&amp;"uieie""),"""")"),3.0)</f>
        <v>3</v>
      </c>
      <c r="B79" s="22">
        <f>IFERROR(__xludf.DUMMYFUNCTION("""COMPUTED_VALUE"""),1.0)</f>
        <v>1</v>
      </c>
      <c r="C79" s="40" t="str">
        <f>IFERROR(__xludf.DUMMYFUNCTION("""COMPUTED_VALUE"""),"R1 / R2")</f>
        <v>R1 / R2</v>
      </c>
      <c r="D79" s="22" t="str">
        <f>IFERROR(__xludf.DUMMYFUNCTION("""COMPUTED_VALUE"""),"General Challenges and Recommendations")</f>
        <v>General Challenges and Recommendations</v>
      </c>
      <c r="E79" s="46" t="str">
        <f>IFERROR(__xludf.DUMMYFUNCTION("if(or(QuotesCheckJudge="""",and(QuotesCheckJudge = ""primeiro"", QuotesCheckChallengeRecommendation1 &lt;&gt; """")), filter('Quotes-Check'!E79:F79, 'Quotes-Check'!E79:F79&lt;&gt;""glugluieie""),if(and(QuotesCheckJudge = ""segundo"", QuotesCheckChallengeRecommendatio"&amp;"n2 &lt;&gt; """"), filter('Quotes-Check'!I79:J79, 'Quotes-Check'!I79:J79&lt;&gt;""glugluieie""),""""))"),"recommendation")</f>
        <v>recommendation</v>
      </c>
      <c r="F79" s="22" t="str">
        <f>IFERROR(__xludf.DUMMYFUNCTION("""COMPUTED_VALUE"""),"a recomendação é entender qual é o contexto de aprendizado da turma")</f>
        <v>a recomendação é entender qual é o contexto de aprendizado da turma</v>
      </c>
      <c r="G79" s="22" t="str">
        <f>if(QuotesCheckJudgeAbstract&lt;&gt;"",QuotesCheckJudgeAbstract,if(or(QuotesCheckJudge="",and(QuotesCheckJudge = "primeiro", QuotesCheckChallengeRecommendation1 &lt;&gt; "")), QuotesCheckAbstract1,if(and(QuotesCheckJudge = "segundo", QuotesCheckChallengeRecommendation2 &lt;&gt; ""), QuotesCheckAbstract2,"")))</f>
        <v>Identify the most compatible DevOps scope for each class.</v>
      </c>
    </row>
    <row r="80">
      <c r="A80" s="22">
        <f>IFERROR(__xludf.DUMMYFUNCTION("if(or(QuotesCheckJudge="""",and(QuotesCheckJudge = ""primeiro"", QuotesCheckChallengeRecommendation1 &lt;&gt; """"),and(QuotesCheckJudge = ""segundo"", QuotesCheckChallengeRecommendation2 &lt;&gt; """")), filter('Quotes-Check'!A80:D80, 'Quotes-Check'!A80:D80&lt;&gt;""glugl"&amp;"uieie""),"""")"),3.0)</f>
        <v>3</v>
      </c>
      <c r="B80" s="22">
        <f>IFERROR(__xludf.DUMMYFUNCTION("""COMPUTED_VALUE"""),2.0)</f>
        <v>2</v>
      </c>
      <c r="C80" s="2" t="str">
        <f>IFERROR(__xludf.DUMMYFUNCTION("""COMPUTED_VALUE"""),"R2 / R3")</f>
        <v>R2 / R3</v>
      </c>
      <c r="D80" s="22" t="str">
        <f>IFERROR(__xludf.DUMMYFUNCTION("""COMPUTED_VALUE"""),"Environment Setup")</f>
        <v>Environment Setup</v>
      </c>
      <c r="E80" s="46" t="str">
        <f>IFERROR(__xludf.DUMMYFUNCTION("if(or(QuotesCheckJudge="""",and(QuotesCheckJudge = ""primeiro"", QuotesCheckChallengeRecommendation1 &lt;&gt; """")), filter('Quotes-Check'!E80:F80, 'Quotes-Check'!E80:F80&lt;&gt;""glugluieie""),if(and(QuotesCheckJudge = ""segundo"", QuotesCheckChallengeRecommendatio"&amp;"n2 &lt;&gt; """"), filter('Quotes-Check'!I80:J80, 'Quotes-Check'!I80:J80&lt;&gt;""glugluieie""),""""))"),"challenge")</f>
        <v>challenge</v>
      </c>
      <c r="F80" s="22" t="str">
        <f>IFERROR(__xludf.DUMMYFUNCTION("""COMPUTED_VALUE"""),"O principal desafio é que, em geral, as ferramentas relacionadas com DevOps são sistemas baseados em nuvem[...]")</f>
        <v>O principal desafio é que, em geral, as ferramentas relacionadas com DevOps são sistemas baseados em nuvem[...]</v>
      </c>
      <c r="G80" s="22" t="str">
        <f>if(QuotesCheckJudgeAbstract&lt;&gt;"",QuotesCheckJudgeAbstract,if(or(QuotesCheckJudge="",and(QuotesCheckJudge = "primeiro", QuotesCheckChallengeRecommendation1 &lt;&gt; "")), QuotesCheckAbstract1,if(and(QuotesCheckJudge = "segundo", QuotesCheckChallengeRecommendation2 &lt;&gt; ""), QuotesCheckAbstract2,"")))</f>
        <v>Many DevOps tools are cloud based.</v>
      </c>
    </row>
    <row r="81">
      <c r="A81" s="22">
        <f>IFERROR(__xludf.DUMMYFUNCTION("if(or(QuotesCheckJudge="""",and(QuotesCheckJudge = ""primeiro"", QuotesCheckChallengeRecommendation1 &lt;&gt; """"),and(QuotesCheckJudge = ""segundo"", QuotesCheckChallengeRecommendation2 &lt;&gt; """")), filter('Quotes-Check'!A81:D81, 'Quotes-Check'!A81:D81&lt;&gt;""glugl"&amp;"uieie""),"""")"),3.0)</f>
        <v>3</v>
      </c>
      <c r="B81" s="22">
        <f>IFERROR(__xludf.DUMMYFUNCTION("""COMPUTED_VALUE"""),2.0)</f>
        <v>2</v>
      </c>
      <c r="C81" s="40" t="str">
        <f>IFERROR(__xludf.DUMMYFUNCTION("""COMPUTED_VALUE"""),"R2 / R3")</f>
        <v>R2 / R3</v>
      </c>
      <c r="D81" s="22" t="str">
        <f>IFERROR(__xludf.DUMMYFUNCTION("""COMPUTED_VALUE"""),"Environment Setup")</f>
        <v>Environment Setup</v>
      </c>
      <c r="E81" s="46" t="str">
        <f>IFERROR(__xludf.DUMMYFUNCTION("if(or(QuotesCheckJudge="""",and(QuotesCheckJudge = ""primeiro"", QuotesCheckChallengeRecommendation1 &lt;&gt; """")), filter('Quotes-Check'!E81:F81, 'Quotes-Check'!E81:F81&lt;&gt;""glugluieie""),if(and(QuotesCheckJudge = ""segundo"", QuotesCheckChallengeRecommendatio"&amp;"n2 &lt;&gt; """"), filter('Quotes-Check'!I81:J81, 'Quotes-Check'!I81:J81&lt;&gt;""glugluieie""),""""))"),"recommendation")</f>
        <v>recommendation</v>
      </c>
      <c r="F81" s="22" t="str">
        <f>IFERROR(__xludf.DUMMYFUNCTION("""COMPUTED_VALUE""")," Então, a recomendação é abusar do uso de soluções online, que facilitam esse processo, mas ao mesmo tempo, travar a jornada. ...  Então, a recomendação é abusar do uso de soluções online, que facilitam esse processo, mas ao mesmo tempo, travar a jornada."&amp;" ")</f>
        <v> Então, a recomendação é abusar do uso de soluções online, que facilitam esse processo, mas ao mesmo tempo, travar a jornada. ...  Então, a recomendação é abusar do uso de soluções online, que facilitam esse processo, mas ao mesmo tempo, travar a jornada. </v>
      </c>
      <c r="G81" s="22" t="str">
        <f>if(QuotesCheckJudgeAbstract&lt;&gt;"",QuotesCheckJudgeAbstract,if(or(QuotesCheckJudge="",and(QuotesCheckJudge = "primeiro", QuotesCheckChallengeRecommendation1 &lt;&gt; "")), QuotesCheckAbstract1,if(and(QuotesCheckJudge = "segundo", QuotesCheckChallengeRecommendation2 &lt;&gt; ""), QuotesCheckAbstract2,"")))</f>
        <v>Standardize the use of tools in a well-defined setting.</v>
      </c>
    </row>
    <row r="82">
      <c r="A82" s="22">
        <f>IFERROR(__xludf.DUMMYFUNCTION("if(or(QuotesCheckJudge="""",and(QuotesCheckJudge = ""primeiro"", QuotesCheckChallengeRecommendation1 &lt;&gt; """"),and(QuotesCheckJudge = ""segundo"", QuotesCheckChallengeRecommendation2 &lt;&gt; """")), filter('Quotes-Check'!A82:D82, 'Quotes-Check'!A82:D82&lt;&gt;""glugl"&amp;"uieie""),"""")"),3.0)</f>
        <v>3</v>
      </c>
      <c r="B82" s="22">
        <f>IFERROR(__xludf.DUMMYFUNCTION("""COMPUTED_VALUE"""),2.0)</f>
        <v>2</v>
      </c>
      <c r="C82" s="40" t="str">
        <f>IFERROR(__xludf.DUMMYFUNCTION("""COMPUTED_VALUE"""),"R2 / R3")</f>
        <v>R2 / R3</v>
      </c>
      <c r="D82" s="22" t="str">
        <f>IFERROR(__xludf.DUMMYFUNCTION("""COMPUTED_VALUE"""),"Environment Setup")</f>
        <v>Environment Setup</v>
      </c>
      <c r="E82" s="46" t="str">
        <f>IFERROR(__xludf.DUMMYFUNCTION("if(or(QuotesCheckJudge="""",and(QuotesCheckJudge = ""primeiro"", QuotesCheckChallengeRecommendation1 &lt;&gt; """")), filter('Quotes-Check'!E82:F82, 'Quotes-Check'!E82:F82&lt;&gt;""glugluieie""),if(and(QuotesCheckJudge = ""segundo"", QuotesCheckChallengeRecommendatio"&amp;"n2 &lt;&gt; """"), filter('Quotes-Check'!I82:J82, 'Quotes-Check'!I82:J82&lt;&gt;""glugluieie""),""""))"),"recommendation")</f>
        <v>recommendation</v>
      </c>
      <c r="F82" s="22" t="str">
        <f>IFERROR(__xludf.DUMMYFUNCTION("""COMPUTED_VALUE"""),"[...]ter um mecanismo único e uma etapa inicial, etapa final na qual se queira chegar dentro desse teste facilita muito na hora de você ensinar, na hora de você, principalmente pra por exemplos.")</f>
        <v>[...]ter um mecanismo único e uma etapa inicial, etapa final na qual se queira chegar dentro desse teste facilita muito na hora de você ensinar, na hora de você, principalmente pra por exemplos.</v>
      </c>
      <c r="G82" s="22" t="str">
        <f>if(QuotesCheckJudgeAbstract&lt;&gt;"",QuotesCheckJudgeAbstract,if(or(QuotesCheckJudge="",and(QuotesCheckJudge = "primeiro", QuotesCheckChallengeRecommendation1 &lt;&gt; "")), QuotesCheckAbstract1,if(and(QuotesCheckJudge = "segundo", QuotesCheckChallengeRecommendation2 &lt;&gt; ""), QuotesCheckAbstract2,"")))</f>
        <v>Make an example to the student in a practical context from the initial stage to the final step.</v>
      </c>
    </row>
    <row r="83">
      <c r="A83" s="22">
        <f>IFERROR(__xludf.DUMMYFUNCTION("if(or(QuotesCheckJudge="""",and(QuotesCheckJudge = ""primeiro"", QuotesCheckChallengeRecommendation1 &lt;&gt; """"),and(QuotesCheckJudge = ""segundo"", QuotesCheckChallengeRecommendation2 &lt;&gt; """")), filter('Quotes-Check'!A83:D83, 'Quotes-Check'!A83:D83&lt;&gt;""glugl"&amp;"uieie""),"""")"),3.0)</f>
        <v>3</v>
      </c>
      <c r="B83" s="22">
        <f>IFERROR(__xludf.DUMMYFUNCTION("""COMPUTED_VALUE"""),3.0)</f>
        <v>3</v>
      </c>
      <c r="C83" s="2" t="str">
        <f>IFERROR(__xludf.DUMMYFUNCTION("""COMPUTED_VALUE"""),"R1 / R3")</f>
        <v>R1 / R3</v>
      </c>
      <c r="D83" s="22" t="str">
        <f>IFERROR(__xludf.DUMMYFUNCTION("""COMPUTED_VALUE"""),"DevOps Concepts")</f>
        <v>DevOps Concepts</v>
      </c>
      <c r="E83" s="46" t="str">
        <f>IFERROR(__xludf.DUMMYFUNCTION("if(or(QuotesCheckJudge="""",and(QuotesCheckJudge = ""primeiro"", QuotesCheckChallengeRecommendation1 &lt;&gt; """")), filter('Quotes-Check'!E83:F83, 'Quotes-Check'!E83:F83&lt;&gt;""glugluieie""),if(and(QuotesCheckJudge = ""segundo"", QuotesCheckChallengeRecommendatio"&amp;"n2 &lt;&gt; """"), filter('Quotes-Check'!I83:J83, 'Quotes-Check'!I83:J83&lt;&gt;""glugluieie""),""""))"),"challenge")</f>
        <v>challenge</v>
      </c>
      <c r="F83" s="22" t="str">
        <f>IFERROR(__xludf.DUMMYFUNCTION("""COMPUTED_VALUE"""),"o principal desafio é conseguir passar corretamente aos alunos a ideia de que DevOps trata-se de uma cultura")</f>
        <v>o principal desafio é conseguir passar corretamente aos alunos a ideia de que DevOps trata-se de uma cultura</v>
      </c>
      <c r="G83"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to teach the DevOps culture.</v>
      </c>
    </row>
    <row r="84">
      <c r="A84" s="22">
        <f>IFERROR(__xludf.DUMMYFUNCTION("if(or(QuotesCheckJudge="""",and(QuotesCheckJudge = ""primeiro"", QuotesCheckChallengeRecommendation1 &lt;&gt; """"),and(QuotesCheckJudge = ""segundo"", QuotesCheckChallengeRecommendation2 &lt;&gt; """")), filter('Quotes-Check'!A84:D84, 'Quotes-Check'!A84:D84&lt;&gt;""glugl"&amp;"uieie""),"""")"),3.0)</f>
        <v>3</v>
      </c>
      <c r="B84" s="22">
        <f>IFERROR(__xludf.DUMMYFUNCTION("""COMPUTED_VALUE"""),3.0)</f>
        <v>3</v>
      </c>
      <c r="C84" s="2" t="str">
        <f>IFERROR(__xludf.DUMMYFUNCTION("""COMPUTED_VALUE"""),"R1 / R3")</f>
        <v>R1 / R3</v>
      </c>
      <c r="D84" s="22" t="str">
        <f>IFERROR(__xludf.DUMMYFUNCTION("""COMPUTED_VALUE"""),"DevOps Concepts")</f>
        <v>DevOps Concepts</v>
      </c>
      <c r="E84" s="46" t="str">
        <f>IFERROR(__xludf.DUMMYFUNCTION("if(or(QuotesCheckJudge="""",and(QuotesCheckJudge = ""primeiro"", QuotesCheckChallengeRecommendation1 &lt;&gt; """")), filter('Quotes-Check'!E84:F84, 'Quotes-Check'!E84:F84&lt;&gt;""glugluieie""),if(and(QuotesCheckJudge = ""segundo"", QuotesCheckChallengeRecommendatio"&amp;"n2 &lt;&gt; """"), filter('Quotes-Check'!I84:J84, 'Quotes-Check'!I84:J84&lt;&gt;""glugluieie""),""""))"),"challenge")</f>
        <v>challenge</v>
      </c>
      <c r="F84" s="22" t="str">
        <f>IFERROR(__xludf.DUMMYFUNCTION("""COMPUTED_VALUE"""),"o aluno espera [...] aprender aquela ferramenta matadora, que ajudará no contexto prático da vida dele, seja em processo de desenvolvimento, segurança ou operações.  [...] quer conhecer as ferramentas muito mais do que entender a cultura DevOps.")</f>
        <v>o aluno espera [...] aprender aquela ferramenta matadora, que ajudará no contexto prático da vida dele, seja em processo de desenvolvimento, segurança ou operações.  [...] quer conhecer as ferramentas muito mais do que entender a cultura DevOps.</v>
      </c>
      <c r="G84" s="22" t="str">
        <f>if(QuotesCheckJudgeAbstract&lt;&gt;"",QuotesCheckJudgeAbstract,if(or(QuotesCheckJudge="",and(QuotesCheckJudge = "primeiro", QuotesCheckChallengeRecommendation1 &lt;&gt; "")), QuotesCheckAbstract1,if(and(QuotesCheckJudge = "segundo", QuotesCheckChallengeRecommendation2 &lt;&gt; ""), QuotesCheckAbstract2,"")))</f>
        <v>Students have a prior concept that DevOps is restricted to the use of tools, not being interested in the cultural part of DevOps.</v>
      </c>
    </row>
    <row r="85">
      <c r="A85" s="22">
        <f>IFERROR(__xludf.DUMMYFUNCTION("if(or(QuotesCheckJudge="""",and(QuotesCheckJudge = ""primeiro"", QuotesCheckChallengeRecommendation1 &lt;&gt; """"),and(QuotesCheckJudge = ""segundo"", QuotesCheckChallengeRecommendation2 &lt;&gt; """")), filter('Quotes-Check'!A85:D85, 'Quotes-Check'!A85:D85&lt;&gt;""glugl"&amp;"uieie""),"""")"),3.0)</f>
        <v>3</v>
      </c>
      <c r="B85" s="22">
        <f>IFERROR(__xludf.DUMMYFUNCTION("""COMPUTED_VALUE"""),3.0)</f>
        <v>3</v>
      </c>
      <c r="C85" s="40" t="str">
        <f>IFERROR(__xludf.DUMMYFUNCTION("""COMPUTED_VALUE"""),"R1 / R3")</f>
        <v>R1 / R3</v>
      </c>
      <c r="D85" s="22" t="str">
        <f>IFERROR(__xludf.DUMMYFUNCTION("""COMPUTED_VALUE"""),"DevOps Concepts")</f>
        <v>DevOps Concepts</v>
      </c>
      <c r="E85" s="46" t="str">
        <f>IFERROR(__xludf.DUMMYFUNCTION("if(or(QuotesCheckJudge="""",and(QuotesCheckJudge = ""primeiro"", QuotesCheckChallengeRecommendation1 &lt;&gt; """")), filter('Quotes-Check'!E85:F85, 'Quotes-Check'!E85:F85&lt;&gt;""glugluieie""),if(and(QuotesCheckJudge = ""segundo"", QuotesCheckChallengeRecommendatio"&amp;"n2 &lt;&gt; """"), filter('Quotes-Check'!I85:J85, 'Quotes-Check'!I85:J85&lt;&gt;""glugluieie""),""""))"),"recommendation")</f>
        <v>recommendation</v>
      </c>
      <c r="F85" s="22" t="str">
        <f>IFERROR(__xludf.DUMMYFUNCTION("""COMPUTED_VALUE"""),"muito mais importante [...] é entender que conceitos como observability, cultura de desenvolvimento, comunicação, compartilhamento, são cernes, são o core do que se propõe em relação a DevOps.")</f>
        <v>muito mais importante [...] é entender que conceitos como observability, cultura de desenvolvimento, comunicação, compartilhamento, são cernes, são o core do que se propõe em relação a DevOps.</v>
      </c>
      <c r="G85" s="22" t="str">
        <f>if(QuotesCheckJudgeAbstract&lt;&gt;"",QuotesCheckJudgeAbstract,if(or(QuotesCheckJudge="",and(QuotesCheckJudge = "primeiro", QuotesCheckChallengeRecommendation1 &lt;&gt; "")), QuotesCheckAbstract1,if(and(QuotesCheckJudge = "segundo", QuotesCheckChallengeRecommendation2 &lt;&gt; ""), QuotesCheckAbstract2,"")))</f>
        <v>It is important to teach concepts such as observability and other cultural aspects such as sharing and communication.</v>
      </c>
    </row>
    <row r="86">
      <c r="A86" s="22">
        <f>IFERROR(__xludf.DUMMYFUNCTION("if(or(QuotesCheckJudge="""",and(QuotesCheckJudge = ""primeiro"", QuotesCheckChallengeRecommendation1 &lt;&gt; """"),and(QuotesCheckJudge = ""segundo"", QuotesCheckChallengeRecommendation2 &lt;&gt; """")), filter('Quotes-Check'!A86:D86, 'Quotes-Check'!A86:D86&lt;&gt;""glugl"&amp;"uieie""),"""")"),3.0)</f>
        <v>3</v>
      </c>
      <c r="B86" s="22">
        <f>IFERROR(__xludf.DUMMYFUNCTION("""COMPUTED_VALUE"""),4.0)</f>
        <v>4</v>
      </c>
      <c r="C86" s="40" t="str">
        <f>IFERROR(__xludf.DUMMYFUNCTION("""COMPUTED_VALUE"""),"R1 / R3")</f>
        <v>R1 / R3</v>
      </c>
      <c r="D86" s="22" t="str">
        <f>IFERROR(__xludf.DUMMYFUNCTION("""COMPUTED_VALUE"""),"DevOps Concepts")</f>
        <v>DevOps Concepts</v>
      </c>
      <c r="E86" s="46" t="str">
        <f>IFERROR(__xludf.DUMMYFUNCTION("if(or(QuotesCheckJudge="""",and(QuotesCheckJudge = ""primeiro"", QuotesCheckChallengeRecommendation1 &lt;&gt; """")), filter('Quotes-Check'!E86:F86, 'Quotes-Check'!E86:F86&lt;&gt;""glugluieie""),if(and(QuotesCheckJudge = ""segundo"", QuotesCheckChallengeRecommendatio"&amp;"n2 &lt;&gt; """"), filter('Quotes-Check'!I86:J86, 'Quotes-Check'!I86:J86&lt;&gt;""glugluieie""),""""))"),"recommendation")</f>
        <v>recommendation</v>
      </c>
      <c r="F86" s="22" t="str">
        <f>IFERROR(__xludf.DUMMYFUNCTION("""COMPUTED_VALUE"""),"Apresentar conceitos que estão bem estabelecidos na comunidade, como a questão dos eixos, [...] do processo de DevOps, ")</f>
        <v>Apresentar conceitos que estão bem estabelecidos na comunidade, como a questão dos eixos, [...] do processo de DevOps, </v>
      </c>
      <c r="G86" s="22" t="str">
        <f>if(QuotesCheckJudgeAbstract&lt;&gt;"",QuotesCheckJudgeAbstract,if(or(QuotesCheckJudge="",and(QuotesCheckJudge = "primeiro", QuotesCheckChallengeRecommendation1 &lt;&gt; "")), QuotesCheckAbstract1,if(and(QuotesCheckJudge = "segundo", QuotesCheckChallengeRecommendation2 &lt;&gt; ""), QuotesCheckAbstract2,"")))</f>
        <v>Introduce well-established concepts by the DevOps community, such as the DevOps pipeline process.</v>
      </c>
    </row>
    <row r="87">
      <c r="A87" s="22">
        <f>IFERROR(__xludf.DUMMYFUNCTION("if(or(QuotesCheckJudge="""",and(QuotesCheckJudge = ""primeiro"", QuotesCheckChallengeRecommendation1 &lt;&gt; """"),and(QuotesCheckJudge = ""segundo"", QuotesCheckChallengeRecommendation2 &lt;&gt; """")), filter('Quotes-Check'!A87:D87, 'Quotes-Check'!A87:D87&lt;&gt;""glugl"&amp;"uieie""),"""")"),3.0)</f>
        <v>3</v>
      </c>
      <c r="B87" s="22">
        <f>IFERROR(__xludf.DUMMYFUNCTION("""COMPUTED_VALUE"""),4.0)</f>
        <v>4</v>
      </c>
      <c r="C87" s="40" t="str">
        <f>IFERROR(__xludf.DUMMYFUNCTION("""COMPUTED_VALUE"""),"R1 / R3")</f>
        <v>R1 / R3</v>
      </c>
      <c r="D87" s="22" t="str">
        <f>IFERROR(__xludf.DUMMYFUNCTION("""COMPUTED_VALUE"""),"DevOps Concepts")</f>
        <v>DevOps Concepts</v>
      </c>
      <c r="E87" s="46" t="str">
        <f>IFERROR(__xludf.DUMMYFUNCTION("if(or(QuotesCheckJudge="""",and(QuotesCheckJudge = ""primeiro"", QuotesCheckChallengeRecommendation1 &lt;&gt; """")), filter('Quotes-Check'!E87:F87, 'Quotes-Check'!E87:F87&lt;&gt;""glugluieie""),if(and(QuotesCheckJudge = ""segundo"", QuotesCheckChallengeRecommendatio"&amp;"n2 &lt;&gt; """"), filter('Quotes-Check'!I87:J87, 'Quotes-Check'!I87:J87&lt;&gt;""glugluieie""),""""))"),"recommendation")</f>
        <v>recommendation</v>
      </c>
      <c r="F87" s="22" t="str">
        <f>IFERROR(__xludf.DUMMYFUNCTION("""COMPUTED_VALUE"""),"Apresentar [...] cases sobre como isso se traduz, [...] eliminação dos silos entre operações e desenvolvimento")</f>
        <v>Apresentar [...] cases sobre como isso se traduz, [...] eliminação dos silos entre operações e desenvolvimento</v>
      </c>
      <c r="G87" s="22" t="str">
        <f>if(QuotesCheckJudgeAbstract&lt;&gt;"",QuotesCheckJudgeAbstract,if(or(QuotesCheckJudge="",and(QuotesCheckJudge = "primeiro", QuotesCheckChallengeRecommendation1 &lt;&gt; "")), QuotesCheckAbstract1,if(and(QuotesCheckJudge = "segundo", QuotesCheckChallengeRecommendation2 &lt;&gt; ""), QuotesCheckAbstract2,"")))</f>
        <v>Present the use case of devops, for example, the elimination of silos among the development team.</v>
      </c>
    </row>
    <row r="88">
      <c r="A88" s="22">
        <f>IFERROR(__xludf.DUMMYFUNCTION("if(or(QuotesCheckJudge="""",and(QuotesCheckJudge = ""primeiro"", QuotesCheckChallengeRecommendation1 &lt;&gt; """"),and(QuotesCheckJudge = ""segundo"", QuotesCheckChallengeRecommendation2 &lt;&gt; """")), filter('Quotes-Check'!A88:D88, 'Quotes-Check'!A88:D88&lt;&gt;""glugl"&amp;"uieie""),"""")"),3.0)</f>
        <v>3</v>
      </c>
      <c r="B88" s="22">
        <f>IFERROR(__xludf.DUMMYFUNCTION("""COMPUTED_VALUE"""),4.0)</f>
        <v>4</v>
      </c>
      <c r="C88" s="40" t="str">
        <f>IFERROR(__xludf.DUMMYFUNCTION("""COMPUTED_VALUE"""),"R1 / R3")</f>
        <v>R1 / R3</v>
      </c>
      <c r="D88" s="22" t="str">
        <f>IFERROR(__xludf.DUMMYFUNCTION("""COMPUTED_VALUE"""),"DevOps Concepts")</f>
        <v>DevOps Concepts</v>
      </c>
      <c r="E88" s="46" t="str">
        <f>IFERROR(__xludf.DUMMYFUNCTION("if(or(QuotesCheckJudge="""",and(QuotesCheckJudge = ""primeiro"", QuotesCheckChallengeRecommendation1 &lt;&gt; """")), filter('Quotes-Check'!E88:F88, 'Quotes-Check'!E88:F88&lt;&gt;""glugluieie""),if(and(QuotesCheckJudge = ""segundo"", QuotesCheckChallengeRecommendatio"&amp;"n2 &lt;&gt; """"), filter('Quotes-Check'!I88:J88, 'Quotes-Check'!I88:J88&lt;&gt;""glugluieie""),""""))"),"recommendation")</f>
        <v>recommendation</v>
      </c>
      <c r="F88" s="22" t="str">
        <f>IFERROR(__xludf.DUMMYFUNCTION("""COMPUTED_VALUE""")," sempre começar pela cultura antes de ir para o ensino ou para demonstração com base em ferramentas")</f>
        <v> sempre começar pela cultura antes de ir para o ensino ou para demonstração com base em ferramentas</v>
      </c>
      <c r="G88" s="22" t="str">
        <f>if(QuotesCheckJudgeAbstract&lt;&gt;"",QuotesCheckJudgeAbstract,if(or(QuotesCheckJudge="",and(QuotesCheckJudge = "primeiro", QuotesCheckChallengeRecommendation1 &lt;&gt; "")), QuotesCheckAbstract1,if(and(QuotesCheckJudge = "segundo", QuotesCheckChallengeRecommendation2 &lt;&gt; ""), QuotesCheckAbstract2,"")))</f>
        <v>Start teaching DevOps from the culture. Only then demonstrate with tools.</v>
      </c>
    </row>
    <row r="89">
      <c r="A89" s="22">
        <f>IFERROR(__xludf.DUMMYFUNCTION("if(or(QuotesCheckJudge="""",and(QuotesCheckJudge = ""primeiro"", QuotesCheckChallengeRecommendation1 &lt;&gt; """"),and(QuotesCheckJudge = ""segundo"", QuotesCheckChallengeRecommendation2 &lt;&gt; """")), filter('Quotes-Check'!A89:D89, 'Quotes-Check'!A89:D89&lt;&gt;""glugl"&amp;"uieie""),"""")"),3.0)</f>
        <v>3</v>
      </c>
      <c r="B89" s="22">
        <f>IFERROR(__xludf.DUMMYFUNCTION("""COMPUTED_VALUE"""),5.0)</f>
        <v>5</v>
      </c>
      <c r="C89" s="2" t="str">
        <f>IFERROR(__xludf.DUMMYFUNCTION("""COMPUTED_VALUE"""),"R1 / R3")</f>
        <v>R1 / R3</v>
      </c>
      <c r="D89" s="22" t="str">
        <f>IFERROR(__xludf.DUMMYFUNCTION("""COMPUTED_VALUE"""),"Class Preparation")</f>
        <v>Class Preparation</v>
      </c>
      <c r="E89" s="46" t="str">
        <f>IFERROR(__xludf.DUMMYFUNCTION("if(or(QuotesCheckJudge="""",and(QuotesCheckJudge = ""primeiro"", QuotesCheckChallengeRecommendation1 &lt;&gt; """")), filter('Quotes-Check'!E89:F89, 'Quotes-Check'!E89:F89&lt;&gt;""glugluieie""),if(and(QuotesCheckJudge = ""segundo"", QuotesCheckChallengeRecommendatio"&amp;"n2 &lt;&gt; """"), filter('Quotes-Check'!I89:J89, 'Quotes-Check'!I89:J89&lt;&gt;""glugluieie""),""""))"),"challenge")</f>
        <v>challenge</v>
      </c>
      <c r="F89" s="22" t="str">
        <f>IFERROR(__xludf.DUMMYFUNCTION("""COMPUTED_VALUE"""),"em geral você tem um um range grande de soluções, você tem um ecossistema muito grande de possibilidades de como testar ou demonstrar um conceito")</f>
        <v>em geral você tem um um range grande de soluções, você tem um ecossistema muito grande de possibilidades de como testar ou demonstrar um conceito</v>
      </c>
      <c r="G89" s="22" t="str">
        <f>if(QuotesCheckJudgeAbstract&lt;&gt;"",QuotesCheckJudgeAbstract,if(or(QuotesCheckJudge="",and(QuotesCheckJudge = "primeiro", QuotesCheckChallengeRecommendation1 &lt;&gt; "")), QuotesCheckAbstract1,if(and(QuotesCheckJudge = "segundo", QuotesCheckChallengeRecommendation2 &lt;&gt; ""), QuotesCheckAbstract2,"")))</f>
        <v>Many DevOps tools and usability available.</v>
      </c>
    </row>
    <row r="90">
      <c r="A90" s="22">
        <f>IFERROR(__xludf.DUMMYFUNCTION("if(or(QuotesCheckJudge="""",and(QuotesCheckJudge = ""primeiro"", QuotesCheckChallengeRecommendation1 &lt;&gt; """"),and(QuotesCheckJudge = ""segundo"", QuotesCheckChallengeRecommendation2 &lt;&gt; """")), filter('Quotes-Check'!A90:D90, 'Quotes-Check'!A90:D90&lt;&gt;""glugl"&amp;"uieie""),"""")"),3.0)</f>
        <v>3</v>
      </c>
      <c r="B90" s="22">
        <f>IFERROR(__xludf.DUMMYFUNCTION("""COMPUTED_VALUE"""),5.0)</f>
        <v>5</v>
      </c>
      <c r="C90" s="2" t="str">
        <f>IFERROR(__xludf.DUMMYFUNCTION("""COMPUTED_VALUE"""),"R1 / R3")</f>
        <v>R1 / R3</v>
      </c>
      <c r="D90" s="22" t="str">
        <f>IFERROR(__xludf.DUMMYFUNCTION("""COMPUTED_VALUE"""),"Class Preparation")</f>
        <v>Class Preparation</v>
      </c>
      <c r="E90" s="46" t="str">
        <f>IFERROR(__xludf.DUMMYFUNCTION("if(or(QuotesCheckJudge="""",and(QuotesCheckJudge = ""primeiro"", QuotesCheckChallengeRecommendation1 &lt;&gt; """")), filter('Quotes-Check'!E90:F90, 'Quotes-Check'!E90:F90&lt;&gt;""glugluieie""),if(and(QuotesCheckJudge = ""segundo"", QuotesCheckChallengeRecommendatio"&amp;"n2 &lt;&gt; """"), filter('Quotes-Check'!I90:J90, 'Quotes-Check'!I90:J90&lt;&gt;""glugluieie""),""""))"),"challenge")</f>
        <v>challenge</v>
      </c>
      <c r="F90" s="22" t="str">
        <f>IFERROR(__xludf.DUMMYFUNCTION("""COMPUTED_VALUE"""),"O desafio nesse aspecto refere-se [..] a questão dos laboratórios  [...]  mas você acaba sempre por uma questão de tempo versus desenvolvimento da aula ")</f>
        <v>O desafio nesse aspecto refere-se [..] a questão dos laboratórios  [...]  mas você acaba sempre por uma questão de tempo versus desenvolvimento da aula </v>
      </c>
      <c r="G90" s="22" t="str">
        <f>if(QuotesCheckJudgeAbstract&lt;&gt;"",QuotesCheckJudgeAbstract,if(or(QuotesCheckJudge="",and(QuotesCheckJudge = "primeiro", QuotesCheckChallengeRecommendation1 &lt;&gt; "")), QuotesCheckAbstract1,if(and(QuotesCheckJudge = "segundo", QuotesCheckChallengeRecommendation2 &lt;&gt; ""), QuotesCheckAbstract2,"")))</f>
        <v>Limitation of the development of laboratory practices in class due to the short time.</v>
      </c>
    </row>
    <row r="91">
      <c r="A91" s="22">
        <f>IFERROR(__xludf.DUMMYFUNCTION("if(or(QuotesCheckJudge="""",and(QuotesCheckJudge = ""primeiro"", QuotesCheckChallengeRecommendation1 &lt;&gt; """"),and(QuotesCheckJudge = ""segundo"", QuotesCheckChallengeRecommendation2 &lt;&gt; """")), filter('Quotes-Check'!A91:D91, 'Quotes-Check'!A91:D91&lt;&gt;""glugl"&amp;"uieie""),"""")"),3.0)</f>
        <v>3</v>
      </c>
      <c r="B91" s="22">
        <f>IFERROR(__xludf.DUMMYFUNCTION("""COMPUTED_VALUE"""),5.0)</f>
        <v>5</v>
      </c>
      <c r="C91" s="40" t="str">
        <f>IFERROR(__xludf.DUMMYFUNCTION("""COMPUTED_VALUE"""),"R1 / R3")</f>
        <v>R1 / R3</v>
      </c>
      <c r="D91" s="22" t="str">
        <f>IFERROR(__xludf.DUMMYFUNCTION("""COMPUTED_VALUE"""),"Class Preparation")</f>
        <v>Class Preparation</v>
      </c>
      <c r="E91" s="46" t="str">
        <f>IFERROR(__xludf.DUMMYFUNCTION("if(or(QuotesCheckJudge="""",and(QuotesCheckJudge = ""primeiro"", QuotesCheckChallengeRecommendation1 &lt;&gt; """")), filter('Quotes-Check'!E91:F91, 'Quotes-Check'!E91:F91&lt;&gt;""glugluieie""),if(and(QuotesCheckJudge = ""segundo"", QuotesCheckChallengeRecommendatio"&amp;"n2 &lt;&gt; """"), filter('Quotes-Check'!I91:J91, 'Quotes-Check'!I91:J91&lt;&gt;""glugluieie""),""""))"),"recommendation")</f>
        <v>recommendation</v>
      </c>
      <c r="F91" s="22" t="str">
        <f>IFERROR(__xludf.DUMMYFUNCTION("""COMPUTED_VALUE"""),"construir um laboratório [...] coeso, em um cenário específico, que consiga demonstrar melhor o conceito que está sendo passado ali durante o ensino.")</f>
        <v>construir um laboratório [...] coeso, em um cenário específico, que consiga demonstrar melhor o conceito que está sendo passado ali durante o ensino.</v>
      </c>
      <c r="G91" s="22" t="str">
        <f>if(QuotesCheckJudgeAbstract&lt;&gt;"",QuotesCheckJudgeAbstract,if(or(QuotesCheckJudge="",and(QuotesCheckJudge = "primeiro", QuotesCheckChallengeRecommendation1 &lt;&gt; "")), QuotesCheckAbstract1,if(and(QuotesCheckJudge = "segundo", QuotesCheckChallengeRecommendation2 &lt;&gt; ""), QuotesCheckAbstract2,"")))</f>
        <v>Delimit a specific set of tools to build a scenario in order to demonstrate a concept to be taught.</v>
      </c>
    </row>
    <row r="92">
      <c r="A92" s="22">
        <f>IFERROR(__xludf.DUMMYFUNCTION("if(or(QuotesCheckJudge="""",and(QuotesCheckJudge = ""primeiro"", QuotesCheckChallengeRecommendation1 &lt;&gt; """"),and(QuotesCheckJudge = ""segundo"", QuotesCheckChallengeRecommendation2 &lt;&gt; """")), filter('Quotes-Check'!A92:D92, 'Quotes-Check'!A92:D92&lt;&gt;""glugl"&amp;"uieie""),"""")"),3.0)</f>
        <v>3</v>
      </c>
      <c r="B92" s="22">
        <f>IFERROR(__xludf.DUMMYFUNCTION("""COMPUTED_VALUE"""),6.0)</f>
        <v>6</v>
      </c>
      <c r="C92" s="40" t="str">
        <f>IFERROR(__xludf.DUMMYFUNCTION("""COMPUTED_VALUE"""),"R1 / R2")</f>
        <v>R1 / R2</v>
      </c>
      <c r="D92" s="22" t="str">
        <f>IFERROR(__xludf.DUMMYFUNCTION("""COMPUTED_VALUE"""),"Tool / Technology")</f>
        <v>Tool / Technology</v>
      </c>
      <c r="E92" s="46" t="str">
        <f>IFERROR(__xludf.DUMMYFUNCTION("if(or(QuotesCheckJudge="""",and(QuotesCheckJudge = ""primeiro"", QuotesCheckChallengeRecommendation1 &lt;&gt; """")), filter('Quotes-Check'!E92:F92, 'Quotes-Check'!E92:F92&lt;&gt;""glugluieie""),if(and(QuotesCheckJudge = ""segundo"", QuotesCheckChallengeRecommendatio"&amp;"n2 &lt;&gt; """"), filter('Quotes-Check'!I92:J92, 'Quotes-Check'!I92:J92&lt;&gt;""glugluieie""),""""))"),"recommendation")</f>
        <v>recommendation</v>
      </c>
      <c r="F92" s="22" t="str">
        <f>IFERROR(__xludf.DUMMYFUNCTION("""COMPUTED_VALUE"""),"a maioria dessas ferramentas possuem camadas gratuitas, no caso de provedores Cloud. Todos os três principais possuem uma versão voltada para a educação e isso é muito bom. Isso para o professor é um facilitador muito grande.")</f>
        <v>a maioria dessas ferramentas possuem camadas gratuitas, no caso de provedores Cloud. Todos os três principais possuem uma versão voltada para a educação e isso é muito bom. Isso para o professor é um facilitador muito grande.</v>
      </c>
      <c r="G92" s="22" t="str">
        <f>if(QuotesCheckJudgeAbstract&lt;&gt;"",QuotesCheckJudgeAbstract,if(or(QuotesCheckJudge="",and(QuotesCheckJudge = "primeiro", QuotesCheckChallengeRecommendation1 &lt;&gt; "")), QuotesCheckAbstract1,if(and(QuotesCheckJudge = "segundo", QuotesCheckChallengeRecommendation2 &lt;&gt; ""), QuotesCheckAbstract2,"")))</f>
        <v>All three main cloud providers have an education-oriented version.</v>
      </c>
    </row>
    <row r="93">
      <c r="A93" s="22">
        <f>IFERROR(__xludf.DUMMYFUNCTION("if(or(QuotesCheckJudge="""",and(QuotesCheckJudge = ""primeiro"", QuotesCheckChallengeRecommendation1 &lt;&gt; """"),and(QuotesCheckJudge = ""segundo"", QuotesCheckChallengeRecommendation2 &lt;&gt; """")), filter('Quotes-Check'!A93:D93, 'Quotes-Check'!A93:D93&lt;&gt;""glugl"&amp;"uieie""),"""")"),3.0)</f>
        <v>3</v>
      </c>
      <c r="B93" s="22">
        <f>IFERROR(__xludf.DUMMYFUNCTION("""COMPUTED_VALUE"""),6.0)</f>
        <v>6</v>
      </c>
      <c r="C93" s="40" t="str">
        <f>IFERROR(__xludf.DUMMYFUNCTION("""COMPUTED_VALUE"""),"R1 / R2")</f>
        <v>R1 / R2</v>
      </c>
      <c r="D93" s="22" t="str">
        <f>IFERROR(__xludf.DUMMYFUNCTION("""COMPUTED_VALUE"""),"Tool / Technology")</f>
        <v>Tool / Technology</v>
      </c>
      <c r="E93" s="46" t="str">
        <f>IFERROR(__xludf.DUMMYFUNCTION("if(or(QuotesCheckJudge="""",and(QuotesCheckJudge = ""primeiro"", QuotesCheckChallengeRecommendation1 &lt;&gt; """")), filter('Quotes-Check'!E93:F93, 'Quotes-Check'!E93:F93&lt;&gt;""glugluieie""),if(and(QuotesCheckJudge = ""segundo"", QuotesCheckChallengeRecommendatio"&amp;"n2 &lt;&gt; """"), filter('Quotes-Check'!I93:J93, 'Quotes-Check'!I93:J93&lt;&gt;""glugluieie""),""""))"),"recommendation")</f>
        <v>recommendation</v>
      </c>
      <c r="F93" s="22" t="str">
        <f>IFERROR(__xludf.DUMMYFUNCTION("""COMPUTED_VALUE"""),"colocar o aluno num contexto muito prático, ele consegue ver na aula uma ferramenta que ele provavelmente já viu alguém utilizando na empresa ou já ouviu falar. Isso traz uma imersão muito melhor na aula")</f>
        <v>colocar o aluno num contexto muito prático, ele consegue ver na aula uma ferramenta que ele provavelmente já viu alguém utilizando na empresa ou já ouviu falar. Isso traz uma imersão muito melhor na aula</v>
      </c>
      <c r="G93" s="22" t="str">
        <f>if(QuotesCheckJudgeAbstract&lt;&gt;"",QuotesCheckJudgeAbstract,if(or(QuotesCheckJudge="",and(QuotesCheckJudge = "primeiro", QuotesCheckChallengeRecommendation1 &lt;&gt; "")), QuotesCheckAbstract1,if(and(QuotesCheckJudge = "segundo", QuotesCheckChallengeRecommendation2 &lt;&gt; ""), QuotesCheckAbstract2,"")))</f>
        <v>Search for references from practical contexts experienced by students to easy the understanding, using popular tools.</v>
      </c>
    </row>
    <row r="94">
      <c r="A94" s="22">
        <f>IFERROR(__xludf.DUMMYFUNCTION("if(or(QuotesCheckJudge="""",and(QuotesCheckJudge = ""primeiro"", QuotesCheckChallengeRecommendation1 &lt;&gt; """"),and(QuotesCheckJudge = ""segundo"", QuotesCheckChallengeRecommendation2 &lt;&gt; """")), filter('Quotes-Check'!A94:D94, 'Quotes-Check'!A94:D94&lt;&gt;""glugl"&amp;"uieie""),"""")"),3.0)</f>
        <v>3</v>
      </c>
      <c r="B94" s="22">
        <f>IFERROR(__xludf.DUMMYFUNCTION("""COMPUTED_VALUE"""),7.0)</f>
        <v>7</v>
      </c>
      <c r="C94" s="2" t="str">
        <f>IFERROR(__xludf.DUMMYFUNCTION("""COMPUTED_VALUE"""),"R2 / R3")</f>
        <v>R2 / R3</v>
      </c>
      <c r="D94" s="22" t="str">
        <f>IFERROR(__xludf.DUMMYFUNCTION("""COMPUTED_VALUE"""),"Assessment")</f>
        <v>Assessment</v>
      </c>
      <c r="E94" s="46" t="str">
        <f>IFERROR(__xludf.DUMMYFUNCTION("if(or(QuotesCheckJudge="""",and(QuotesCheckJudge = ""primeiro"", QuotesCheckChallengeRecommendation1 &lt;&gt; """")), filter('Quotes-Check'!E94:F94, 'Quotes-Check'!E94:F94&lt;&gt;""glugluieie""),if(and(QuotesCheckJudge = ""segundo"", QuotesCheckChallengeRecommendatio"&amp;"n2 &lt;&gt; """"), filter('Quotes-Check'!I94:J94, 'Quotes-Check'!I94:J94&lt;&gt;""glugluieie""),""""))"),"challenge")</f>
        <v>challenge</v>
      </c>
      <c r="F94" s="22" t="str">
        <f>IFERROR(__xludf.DUMMYFUNCTION("""COMPUTED_VALUE"""),"[...] em muitos casos a avaliação ainda é baseada no modelo tradicional de prova ou em algum processo de avaliação fixo, com uma relação X de questões ou algo similar. ")</f>
        <v>[...] em muitos casos a avaliação ainda é baseada no modelo tradicional de prova ou em algum processo de avaliação fixo, com uma relação X de questões ou algo similar. </v>
      </c>
      <c r="G94"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dealing with assessments based on a traditional test model.</v>
      </c>
    </row>
    <row r="95">
      <c r="A95" s="22">
        <f>IFERROR(__xludf.DUMMYFUNCTION("if(or(QuotesCheckJudge="""",and(QuotesCheckJudge = ""primeiro"", QuotesCheckChallengeRecommendation1 &lt;&gt; """"),and(QuotesCheckJudge = ""segundo"", QuotesCheckChallengeRecommendation2 &lt;&gt; """")), filter('Quotes-Check'!A95:D95, 'Quotes-Check'!A95:D95&lt;&gt;""glugl"&amp;"uieie""),"""")"),3.0)</f>
        <v>3</v>
      </c>
      <c r="B95" s="22">
        <f>IFERROR(__xludf.DUMMYFUNCTION("""COMPUTED_VALUE"""),7.0)</f>
        <v>7</v>
      </c>
      <c r="C95" s="40" t="str">
        <f>IFERROR(__xludf.DUMMYFUNCTION("""COMPUTED_VALUE"""),"R2 / R3")</f>
        <v>R2 / R3</v>
      </c>
      <c r="D95" s="22" t="str">
        <f>IFERROR(__xludf.DUMMYFUNCTION("""COMPUTED_VALUE"""),"Assessment")</f>
        <v>Assessment</v>
      </c>
      <c r="E95" s="46" t="str">
        <f>IFERROR(__xludf.DUMMYFUNCTION("if(or(QuotesCheckJudge="""",and(QuotesCheckJudge = ""primeiro"", QuotesCheckChallengeRecommendation1 &lt;&gt; """")), filter('Quotes-Check'!E95:F95, 'Quotes-Check'!E95:F95&lt;&gt;""glugluieie""),if(and(QuotesCheckJudge = ""segundo"", QuotesCheckChallengeRecommendatio"&amp;"n2 &lt;&gt; """"), filter('Quotes-Check'!I95:J95, 'Quotes-Check'!I95:J95&lt;&gt;""glugluieie""),""""))"),"recommendation")</f>
        <v>recommendation</v>
      </c>
      <c r="F95" s="22" t="str">
        <f>IFERROR(__xludf.DUMMYFUNCTION("""COMPUTED_VALUE""")," nós adotamos muito a avaliação baseada em projetos [...] a avaliação desse projeto coloca um aluno no contexto dele testar na prática ou simular, que seja na prática, um pouco do que ele viu durante as aulas.")</f>
        <v> nós adotamos muito a avaliação baseada em projetos [...] a avaliação desse projeto coloca um aluno no contexto dele testar na prática ou simular, que seja na prática, um pouco do que ele viu durante as aulas.</v>
      </c>
      <c r="G95" s="22" t="str">
        <f>if(QuotesCheckJudgeAbstract&lt;&gt;"",QuotesCheckJudgeAbstract,if(or(QuotesCheckJudge="",and(QuotesCheckJudge = "primeiro", QuotesCheckChallengeRecommendation1 &lt;&gt; "")), QuotesCheckAbstract1,if(and(QuotesCheckJudge = "segundo", QuotesCheckChallengeRecommendation2 &lt;&gt; ""), QuotesCheckAbstract2,"")))</f>
        <v>Prefer assessment based on practical projects.</v>
      </c>
    </row>
    <row r="96">
      <c r="A96" s="22">
        <f>IFERROR(__xludf.DUMMYFUNCTION("if(or(QuotesCheckJudge="""",and(QuotesCheckJudge = ""primeiro"", QuotesCheckChallengeRecommendation1 &lt;&gt; """"),and(QuotesCheckJudge = ""segundo"", QuotesCheckChallengeRecommendation2 &lt;&gt; """")), filter('Quotes-Check'!A96:D96, 'Quotes-Check'!A96:D96&lt;&gt;""glugl"&amp;"uieie""),"""")"),3.0)</f>
        <v>3</v>
      </c>
      <c r="B96" s="22">
        <f>IFERROR(__xludf.DUMMYFUNCTION("""COMPUTED_VALUE"""),8.0)</f>
        <v>8</v>
      </c>
      <c r="C96" s="40" t="str">
        <f>IFERROR(__xludf.DUMMYFUNCTION("""COMPUTED_VALUE"""),"R1 / R3")</f>
        <v>R1 / R3</v>
      </c>
      <c r="D96" s="22" t="str">
        <f>IFERROR(__xludf.DUMMYFUNCTION("""COMPUTED_VALUE"""),"Curriculum")</f>
        <v>Curriculum</v>
      </c>
      <c r="E96" s="46" t="str">
        <f>IFERROR(__xludf.DUMMYFUNCTION("if(or(QuotesCheckJudge="""",and(QuotesCheckJudge = ""primeiro"", QuotesCheckChallengeRecommendation1 &lt;&gt; """")), filter('Quotes-Check'!E96:F96, 'Quotes-Check'!E96:F96&lt;&gt;""glugluieie""),if(and(QuotesCheckJudge = ""segundo"", QuotesCheckChallengeRecommendatio"&amp;"n2 &lt;&gt; """"), filter('Quotes-Check'!I96:J96, 'Quotes-Check'!I96:J96&lt;&gt;""glugluieie""),""""))"),"recommendation")</f>
        <v>recommendation</v>
      </c>
      <c r="F96" s="22" t="str">
        <f>IFERROR(__xludf.DUMMYFUNCTION("""COMPUTED_VALUE"""),"adequar a ementa de acordo com o perfil de aluno que você tem.")</f>
        <v>adequar a ementa de acordo com o perfil de aluno que você tem.</v>
      </c>
      <c r="G96" s="22" t="str">
        <f>if(QuotesCheckJudgeAbstract&lt;&gt;"",QuotesCheckJudgeAbstract,if(or(QuotesCheckJudge="",and(QuotesCheckJudge = "primeiro", QuotesCheckChallengeRecommendation1 &lt;&gt; "")), QuotesCheckAbstract1,if(and(QuotesCheckJudge = "segundo", QuotesCheckChallengeRecommendation2 &lt;&gt; ""), QuotesCheckAbstract2,"")))</f>
        <v>Adapt the course according to the profile of students.</v>
      </c>
    </row>
    <row r="97">
      <c r="A97" s="22">
        <f>IFERROR(__xludf.DUMMYFUNCTION("if(or(QuotesCheckJudge="""",and(QuotesCheckJudge = ""primeiro"", QuotesCheckChallengeRecommendation1 &lt;&gt; """"),and(QuotesCheckJudge = ""segundo"", QuotesCheckChallengeRecommendation2 &lt;&gt; """")), filter('Quotes-Check'!A97:D97, 'Quotes-Check'!A97:D97&lt;&gt;""glugl"&amp;"uieie""),"""")"),3.0)</f>
        <v>3</v>
      </c>
      <c r="B97" s="22">
        <f>IFERROR(__xludf.DUMMYFUNCTION("""COMPUTED_VALUE"""),8.0)</f>
        <v>8</v>
      </c>
      <c r="C97" s="40" t="str">
        <f>IFERROR(__xludf.DUMMYFUNCTION("""COMPUTED_VALUE"""),"R1 / R3")</f>
        <v>R1 / R3</v>
      </c>
      <c r="D97" s="22" t="str">
        <f>IFERROR(__xludf.DUMMYFUNCTION("""COMPUTED_VALUE"""),"Curriculum")</f>
        <v>Curriculum</v>
      </c>
      <c r="E97" s="46" t="str">
        <f>IFERROR(__xludf.DUMMYFUNCTION("if(or(QuotesCheckJudge="""",and(QuotesCheckJudge = ""primeiro"", QuotesCheckChallengeRecommendation1 &lt;&gt; """")), filter('Quotes-Check'!E97:F97, 'Quotes-Check'!E97:F97&lt;&gt;""glugluieie""),if(and(QuotesCheckJudge = ""segundo"", QuotesCheckChallengeRecommendatio"&amp;"n2 &lt;&gt; """"), filter('Quotes-Check'!I97:J97, 'Quotes-Check'!I97:J97&lt;&gt;""glugluieie""),""""))"),"recommendation")</f>
        <v>recommendation</v>
      </c>
      <c r="F97" s="22" t="str">
        <f>IFERROR(__xludf.DUMMYFUNCTION("""COMPUTED_VALUE"""),"Essa ementa, você terá algumas possibilidades de criar mutações nessa ementa, pois o conceito DevOps, ele é muito aberto, né, ele engloba áreas diferentes entre desenvolvimento, segurança e operações")</f>
        <v>Essa ementa, você terá algumas possibilidades de criar mutações nessa ementa, pois o conceito DevOps, ele é muito aberto, né, ele engloba áreas diferentes entre desenvolvimento, segurança e operações</v>
      </c>
      <c r="G97" s="22" t="str">
        <f>if(QuotesCheckJudgeAbstract&lt;&gt;"",QuotesCheckJudgeAbstract,if(or(QuotesCheckJudge="",and(QuotesCheckJudge = "primeiro", QuotesCheckChallengeRecommendation1 &lt;&gt; "")), QuotesCheckAbstract1,if(and(QuotesCheckJudge = "segundo", QuotesCheckChallengeRecommendation2 &lt;&gt; ""), QuotesCheckAbstract2,"")))</f>
        <v>Create mutations in the menu due to the breadth of DevOps encompassing the development, operation, and security part.</v>
      </c>
    </row>
    <row r="98">
      <c r="A98" s="22">
        <f>IFERROR(__xludf.DUMMYFUNCTION("if(or(QuotesCheckJudge="""",and(QuotesCheckJudge = ""primeiro"", QuotesCheckChallengeRecommendation1 &lt;&gt; """"),and(QuotesCheckJudge = ""segundo"", QuotesCheckChallengeRecommendation2 &lt;&gt; """")), filter('Quotes-Check'!A98:D98, 'Quotes-Check'!A98:D98&lt;&gt;""glugl"&amp;"uieie""),"""")"),3.0)</f>
        <v>3</v>
      </c>
      <c r="B98" s="22">
        <f>IFERROR(__xludf.DUMMYFUNCTION("""COMPUTED_VALUE"""),8.0)</f>
        <v>8</v>
      </c>
      <c r="C98" s="40" t="str">
        <f>IFERROR(__xludf.DUMMYFUNCTION("""COMPUTED_VALUE"""),"R1 / R3")</f>
        <v>R1 / R3</v>
      </c>
      <c r="D98" s="22" t="str">
        <f>IFERROR(__xludf.DUMMYFUNCTION("""COMPUTED_VALUE"""),"Curriculum")</f>
        <v>Curriculum</v>
      </c>
      <c r="E98" s="46" t="str">
        <f>IFERROR(__xludf.DUMMYFUNCTION("if(or(QuotesCheckJudge="""",and(QuotesCheckJudge = ""primeiro"", QuotesCheckChallengeRecommendation1 &lt;&gt; """")), filter('Quotes-Check'!E98:F98, 'Quotes-Check'!E98:F98&lt;&gt;""glugluieie""),if(and(QuotesCheckJudge = ""segundo"", QuotesCheckChallengeRecommendatio"&amp;"n2 &lt;&gt; """"), filter('Quotes-Check'!I98:J98, 'Quotes-Check'!I98:J98&lt;&gt;""glugluieie""),""""))"),"recommendation")</f>
        <v>recommendation</v>
      </c>
      <c r="F98" s="22" t="str">
        <f>IFERROR(__xludf.DUMMYFUNCTION("""COMPUTED_VALUE"""),"ensinar a DevOps [...] como [...] se aplica prático. ")</f>
        <v>ensinar a DevOps [...] como [...] se aplica prático. </v>
      </c>
      <c r="G98" s="22" t="str">
        <f>if(QuotesCheckJudgeAbstract&lt;&gt;"",QuotesCheckJudgeAbstract,if(or(QuotesCheckJudge="",and(QuotesCheckJudge = "primeiro", QuotesCheckChallengeRecommendation1 &lt;&gt; "")), QuotesCheckAbstract1,if(and(QuotesCheckJudge = "segundo", QuotesCheckChallengeRecommendation2 &lt;&gt; ""), QuotesCheckAbstract2,"")))</f>
        <v>Teach devops in a practical way by applying it.</v>
      </c>
    </row>
    <row r="99">
      <c r="A99" s="22">
        <f>IFERROR(__xludf.DUMMYFUNCTION("if(or(QuotesCheckJudge="""",and(QuotesCheckJudge = ""primeiro"", QuotesCheckChallengeRecommendation1 &lt;&gt; """"),and(QuotesCheckJudge = ""segundo"", QuotesCheckChallengeRecommendation2 &lt;&gt; """")), filter('Quotes-Check'!A99:D99, 'Quotes-Check'!A99:D99&lt;&gt;""glugl"&amp;"uieie""),"""")"),3.0)</f>
        <v>3</v>
      </c>
      <c r="B99" s="22">
        <f>IFERROR(__xludf.DUMMYFUNCTION("""COMPUTED_VALUE"""),8.0)</f>
        <v>8</v>
      </c>
      <c r="C99" s="40" t="str">
        <f>IFERROR(__xludf.DUMMYFUNCTION("""COMPUTED_VALUE"""),"R1 / R3")</f>
        <v>R1 / R3</v>
      </c>
      <c r="D99" s="22" t="str">
        <f>IFERROR(__xludf.DUMMYFUNCTION("""COMPUTED_VALUE"""),"Curriculum")</f>
        <v>Curriculum</v>
      </c>
      <c r="E99" s="46" t="str">
        <f>IFERROR(__xludf.DUMMYFUNCTION("if(or(QuotesCheckJudge="""",and(QuotesCheckJudge = ""primeiro"", QuotesCheckChallengeRecommendation1 &lt;&gt; """")), filter('Quotes-Check'!E99:F99, 'Quotes-Check'!E99:F99&lt;&gt;""glugluieie""),if(and(QuotesCheckJudge = ""segundo"", QuotesCheckChallengeRecommendatio"&amp;"n2 &lt;&gt; """"), filter('Quotes-Check'!I99:J99, 'Quotes-Check'!I99:J99&lt;&gt;""glugluieie""),""""))"),"recommendation")</f>
        <v>recommendation</v>
      </c>
      <c r="F99" s="22" t="str">
        <f>IFERROR(__xludf.DUMMYFUNCTION("""COMPUTED_VALUE"""),"Identificar os cenários, o caso da Google. A Google, eles têm um conceito muito forte em relação a devops e a ideia do que é o papel, por exemplo, do profissional de SRE de resiliência de ambientes dentro do, da estrutura DevOps.")</f>
        <v>Identificar os cenários, o caso da Google. A Google, eles têm um conceito muito forte em relação a devops e a ideia do que é o papel, por exemplo, do profissional de SRE de resiliência de ambientes dentro do, da estrutura DevOps.</v>
      </c>
      <c r="G99" s="22" t="str">
        <f>if(QuotesCheckJudgeAbstract&lt;&gt;"",QuotesCheckJudgeAbstract,if(or(QuotesCheckJudge="",and(QuotesCheckJudge = "primeiro", QuotesCheckChallengeRecommendation1 &lt;&gt; "")), QuotesCheckAbstract1,if(and(QuotesCheckJudge = "segundo", QuotesCheckChallengeRecommendation2 &lt;&gt; ""), QuotesCheckAbstract2,"")))</f>
        <v>Identify the market use cases of devops such as the Google case and the relationship between DevOps and the SRE professional to illustrate the importance of DevOps concepts.</v>
      </c>
    </row>
    <row r="100">
      <c r="A100" s="22">
        <f>IFERROR(__xludf.DUMMYFUNCTION("if(or(QuotesCheckJudge="""",and(QuotesCheckJudge = ""primeiro"", QuotesCheckChallengeRecommendation1 &lt;&gt; """"),and(QuotesCheckJudge = ""segundo"", QuotesCheckChallengeRecommendation2 &lt;&gt; """")), filter('Quotes-Check'!A100:D100, 'Quotes-Check'!A100:D100&lt;&gt;""g"&amp;"lugluieie""),"""")"),3.0)</f>
        <v>3</v>
      </c>
      <c r="B100" s="22">
        <f>IFERROR(__xludf.DUMMYFUNCTION("""COMPUTED_VALUE"""),8.0)</f>
        <v>8</v>
      </c>
      <c r="C100" s="2" t="str">
        <f>IFERROR(__xludf.DUMMYFUNCTION("""COMPUTED_VALUE"""),"R1 / R3")</f>
        <v>R1 / R3</v>
      </c>
      <c r="D100" s="22" t="str">
        <f>IFERROR(__xludf.DUMMYFUNCTION("""COMPUTED_VALUE"""),"Curriculum")</f>
        <v>Curriculum</v>
      </c>
      <c r="E100" s="46" t="str">
        <f>IFERROR(__xludf.DUMMYFUNCTION("if(or(QuotesCheckJudge="""",and(QuotesCheckJudge = ""primeiro"", QuotesCheckChallengeRecommendation1 &lt;&gt; """")), filter('Quotes-Check'!E100:F100, 'Quotes-Check'!E100:F100&lt;&gt;""glugluieie""),if(and(QuotesCheckJudge = ""segundo"", QuotesCheckChallengeRecommend"&amp;"ation2 &lt;&gt; """"), filter('Quotes-Check'!I100:J100, 'Quotes-Check'!I100:J100&lt;&gt;""glugluieie""),""""))"),"challenge")</f>
        <v>challenge</v>
      </c>
      <c r="F100" s="22" t="str">
        <f>IFERROR(__xludf.DUMMYFUNCTION("""COMPUTED_VALUE"""),"o conceito DevOps, ele é muito aberto, né, ele engloba áreas diferentes entre desenvolvimento, segurança e operações.")</f>
        <v>o conceito DevOps, ele é muito aberto, né, ele engloba áreas diferentes entre desenvolvimento, segurança e operações.</v>
      </c>
      <c r="G100" s="22" t="str">
        <f>if(QuotesCheckJudgeAbstract&lt;&gt;"",QuotesCheckJudgeAbstract,if(or(QuotesCheckJudge="",and(QuotesCheckJudge = "primeiro", QuotesCheckChallengeRecommendation1 &lt;&gt; "")), QuotesCheckAbstract1,if(and(QuotesCheckJudge = "segundo", QuotesCheckChallengeRecommendation2 &lt;&gt; ""), QuotesCheckAbstract2,"")))</f>
        <v>The teaching of devops is multidisciplinary, covering different areas such as development, safety and operation.</v>
      </c>
    </row>
    <row r="101">
      <c r="A101" s="22">
        <f>IFERROR(__xludf.DUMMYFUNCTION("if(or(QuotesCheckJudge="""",and(QuotesCheckJudge = ""primeiro"", QuotesCheckChallengeRecommendation1 &lt;&gt; """"),and(QuotesCheckJudge = ""segundo"", QuotesCheckChallengeRecommendation2 &lt;&gt; """")), filter('Quotes-Check'!A101:D101, 'Quotes-Check'!A101:D101&lt;&gt;""g"&amp;"lugluieie""),"""")"),3.0)</f>
        <v>3</v>
      </c>
      <c r="B101" s="22">
        <f>IFERROR(__xludf.DUMMYFUNCTION("""COMPUTED_VALUE"""),8.0)</f>
        <v>8</v>
      </c>
      <c r="C101" s="40" t="str">
        <f>IFERROR(__xludf.DUMMYFUNCTION("""COMPUTED_VALUE"""),"R1 / R3")</f>
        <v>R1 / R3</v>
      </c>
      <c r="D101" s="22" t="str">
        <f>IFERROR(__xludf.DUMMYFUNCTION("""COMPUTED_VALUE"""),"Curriculum")</f>
        <v>Curriculum</v>
      </c>
      <c r="E101" s="46" t="str">
        <f>IFERROR(__xludf.DUMMYFUNCTION("if(or(QuotesCheckJudge="""",and(QuotesCheckJudge = ""primeiro"", QuotesCheckChallengeRecommendation1 &lt;&gt; """")), filter('Quotes-Check'!E101:F101, 'Quotes-Check'!E101:F101&lt;&gt;""glugluieie""),if(and(QuotesCheckJudge = ""segundo"", QuotesCheckChallengeRecommend"&amp;"ation2 &lt;&gt; """"), filter('Quotes-Check'!I101:J101, 'Quotes-Check'!I101:J101&lt;&gt;""glugluieie""),""""))"),"recommendation")</f>
        <v>recommendation</v>
      </c>
      <c r="F101" s="22" t="str">
        <f>IFERROR(__xludf.DUMMYFUNCTION("""COMPUTED_VALUE"""),"esse currículo, uma parte dele, entende? Com uns quarenta por cento, uns sessenta por cento fixo, que é cultura, principais características histórico de como surgiu, né, o que representa a cultura, o que isso muda em relação a processos de desenvolvimento"&amp;", operações de segurança. A parte que é mutável, são as ferramentas, onde você aplicará isso ou que case você para os alunos dentro da sala de aula na ementa do curso.")</f>
        <v>esse currículo, uma parte dele, entende? Com uns quarenta por cento, uns sessenta por cento fixo, que é cultura, principais características histórico de como surgiu, né, o que representa a cultura, o que isso muda em relação a processos de desenvolvimento, operações de segurança. A parte que é mutável, são as ferramentas, onde você aplicará isso ou que case você para os alunos dentro da sala de aula na ementa do curso.</v>
      </c>
      <c r="G101" s="22" t="str">
        <f>if(QuotesCheckJudgeAbstract&lt;&gt;"",QuotesCheckJudgeAbstract,if(or(QuotesCheckJudge="",and(QuotesCheckJudge = "primeiro", QuotesCheckChallengeRecommendation1 &lt;&gt; "")), QuotesCheckAbstract1,if(and(QuotesCheckJudge = "segundo", QuotesCheckChallengeRecommendation2 &lt;&gt; ""), QuotesCheckAbstract2,"")))</f>
        <v>Half of the curriculum with DevOps concepts/culture. Half the curriculum with tools.</v>
      </c>
    </row>
    <row r="102">
      <c r="A102" s="22">
        <f>IFERROR(__xludf.DUMMYFUNCTION("if(or(QuotesCheckJudge="""",and(QuotesCheckJudge = ""primeiro"", QuotesCheckChallengeRecommendation1 &lt;&gt; """"),and(QuotesCheckJudge = ""segundo"", QuotesCheckChallengeRecommendation2 &lt;&gt; """")), filter('Quotes-Check'!A102:D102, 'Quotes-Check'!A102:D102&lt;&gt;""g"&amp;"lugluieie""),"""")"),3.0)</f>
        <v>3</v>
      </c>
      <c r="B102" s="22">
        <f>IFERROR(__xludf.DUMMYFUNCTION("""COMPUTED_VALUE"""),9.0)</f>
        <v>9</v>
      </c>
      <c r="C102" s="2" t="str">
        <f>IFERROR(__xludf.DUMMYFUNCTION("""COMPUTED_VALUE"""),"R1 / R3")</f>
        <v>R1 / R3</v>
      </c>
      <c r="D102" s="22" t="str">
        <f>IFERROR(__xludf.DUMMYFUNCTION("""COMPUTED_VALUE"""),"Pedagogy")</f>
        <v>Pedagogy</v>
      </c>
      <c r="E102" s="46" t="str">
        <f>IFERROR(__xludf.DUMMYFUNCTION("if(or(QuotesCheckJudge="""",and(QuotesCheckJudge = ""primeiro"", QuotesCheckChallengeRecommendation1 &lt;&gt; """")), filter('Quotes-Check'!E102:F102, 'Quotes-Check'!E102:F102&lt;&gt;""glugluieie""),if(and(QuotesCheckJudge = ""segundo"", QuotesCheckChallengeRecommend"&amp;"ation2 &lt;&gt; """"), filter('Quotes-Check'!I102:J102, 'Quotes-Check'!I102:J102&lt;&gt;""glugluieie""),""""))"),"challenge")</f>
        <v>challenge</v>
      </c>
      <c r="F102" s="22" t="str">
        <f>IFERROR(__xludf.DUMMYFUNCTION("""COMPUTED_VALUE"""),"Se o aluno tá num contexto onde ele sempre esteve na área acadêmica ou ele nunca teve um contato prático com nenhuma dessas características do desenvolvimento de software, é provável que pra ele seja muito mais desafiador ")</f>
        <v>Se o aluno tá num contexto onde ele sempre esteve na área acadêmica ou ele nunca teve um contato prático com nenhuma dessas características do desenvolvimento de software, é provável que pra ele seja muito mais desafiador </v>
      </c>
      <c r="G102" s="22" t="str">
        <f>if(QuotesCheckJudgeAbstract&lt;&gt;"",QuotesCheckJudgeAbstract,if(or(QuotesCheckJudge="",and(QuotesCheckJudge = "primeiro", QuotesCheckChallengeRecommendation1 &lt;&gt; "")), QuotesCheckAbstract1,if(and(QuotesCheckJudge = "segundo", QuotesCheckChallengeRecommendation2 &lt;&gt; ""), QuotesCheckAbstract2,"")))</f>
        <v>There is a greater difficulty in understanding devops by students whose background is more academic, who have no experience in software development or direct operation.</v>
      </c>
    </row>
    <row r="103">
      <c r="A103" s="22">
        <f>IFERROR(__xludf.DUMMYFUNCTION("if(or(QuotesCheckJudge="""",and(QuotesCheckJudge = ""primeiro"", QuotesCheckChallengeRecommendation1 &lt;&gt; """"),and(QuotesCheckJudge = ""segundo"", QuotesCheckChallengeRecommendation2 &lt;&gt; """")), filter('Quotes-Check'!A103:D103, 'Quotes-Check'!A103:D103&lt;&gt;""g"&amp;"lugluieie""),"""")"),3.0)</f>
        <v>3</v>
      </c>
      <c r="B103" s="22">
        <f>IFERROR(__xludf.DUMMYFUNCTION("""COMPUTED_VALUE"""),9.0)</f>
        <v>9</v>
      </c>
      <c r="C103" s="2" t="str">
        <f>IFERROR(__xludf.DUMMYFUNCTION("""COMPUTED_VALUE"""),"R1 / R3")</f>
        <v>R1 / R3</v>
      </c>
      <c r="D103" s="22" t="str">
        <f>IFERROR(__xludf.DUMMYFUNCTION("""COMPUTED_VALUE"""),"Pedagogy")</f>
        <v>Pedagogy</v>
      </c>
      <c r="E103" s="46" t="str">
        <f>IFERROR(__xludf.DUMMYFUNCTION("if(or(QuotesCheckJudge="""",and(QuotesCheckJudge = ""primeiro"", QuotesCheckChallengeRecommendation1 &lt;&gt; """")), filter('Quotes-Check'!E103:F103, 'Quotes-Check'!E103:F103&lt;&gt;""glugluieie""),if(and(QuotesCheckJudge = ""segundo"", QuotesCheckChallengeRecommend"&amp;"ation2 &lt;&gt; """"), filter('Quotes-Check'!I103:J103, 'Quotes-Check'!I103:J103&lt;&gt;""glugluieie""),""""))"),"challenge")</f>
        <v>challenge</v>
      </c>
      <c r="F103" s="22" t="str">
        <f>IFERROR(__xludf.DUMMYFUNCTION("""COMPUTED_VALUE"""),"Se o aluno tá num contexto onde ele sempre esteve na área acadêmica ou ele nunca teve um contato prático com nenhuma dessas características do desenvolvimento de software, [...] para o professor se torna muito mais desafiador ensinar o conceito DevOps ess"&amp;"e perfil de aluno")</f>
        <v>Se o aluno tá num contexto onde ele sempre esteve na área acadêmica ou ele nunca teve um contato prático com nenhuma dessas características do desenvolvimento de software, [...] para o professor se torna muito mais desafiador ensinar o conceito DevOps esse perfil de aluno</v>
      </c>
      <c r="G103" s="22" t="str">
        <f>if(QuotesCheckJudgeAbstract&lt;&gt;"",QuotesCheckJudgeAbstract,if(or(QuotesCheckJudge="",and(QuotesCheckJudge = "primeiro", QuotesCheckChallengeRecommendation1 &lt;&gt; "")), QuotesCheckAbstract1,if(and(QuotesCheckJudge = "segundo", QuotesCheckChallengeRecommendation2 &lt;&gt; ""), QuotesCheckAbstract2,"")))</f>
        <v>It is difficult to teach students with more academic training that have no experience in software development or operation directly.</v>
      </c>
    </row>
    <row r="104">
      <c r="A104" s="22">
        <f>IFERROR(__xludf.DUMMYFUNCTION("if(or(QuotesCheckJudge="""",and(QuotesCheckJudge = ""primeiro"", QuotesCheckChallengeRecommendation1 &lt;&gt; """"),and(QuotesCheckJudge = ""segundo"", QuotesCheckChallengeRecommendation2 &lt;&gt; """")), filter('Quotes-Check'!A104:D104, 'Quotes-Check'!A104:D104&lt;&gt;""g"&amp;"lugluieie""),"""")"),3.0)</f>
        <v>3</v>
      </c>
      <c r="B104" s="22">
        <f>IFERROR(__xludf.DUMMYFUNCTION("""COMPUTED_VALUE"""),9.0)</f>
        <v>9</v>
      </c>
      <c r="C104" s="40" t="str">
        <f>IFERROR(__xludf.DUMMYFUNCTION("""COMPUTED_VALUE"""),"R1 / R3")</f>
        <v>R1 / R3</v>
      </c>
      <c r="D104" s="22" t="str">
        <f>IFERROR(__xludf.DUMMYFUNCTION("""COMPUTED_VALUE"""),"Pedagogy")</f>
        <v>Pedagogy</v>
      </c>
      <c r="E104" s="46" t="str">
        <f>IFERROR(__xludf.DUMMYFUNCTION("if(or(QuotesCheckJudge="""",and(QuotesCheckJudge = ""primeiro"", QuotesCheckChallengeRecommendation1 &lt;&gt; """")), filter('Quotes-Check'!E104:F104, 'Quotes-Check'!E104:F104&lt;&gt;""glugluieie""),if(and(QuotesCheckJudge = ""segundo"", QuotesCheckChallengeRecommend"&amp;"ation2 &lt;&gt; """"), filter('Quotes-Check'!I104:J104, 'Quotes-Check'!I104:J104&lt;&gt;""glugluieie""),""""))"),"recommendation")</f>
        <v>recommendation</v>
      </c>
      <c r="F104" s="22" t="str">
        <f>IFERROR(__xludf.DUMMYFUNCTION("""COMPUTED_VALUE"""),"para uma turma de gestão de projetos [...] muitas vezes eu tinha que fazer uma introdução [...] baseada em analogias direta ou analogias com outros cenários que ele já encontrou na parte de gestão de produtos para ele entendesse sobre o que eu estava fala"&amp;"ndo.")</f>
        <v>para uma turma de gestão de projetos [...] muitas vezes eu tinha que fazer uma introdução [...] baseada em analogias direta ou analogias com outros cenários que ele já encontrou na parte de gestão de produtos para ele entendesse sobre o que eu estava falando.</v>
      </c>
      <c r="G104" s="22" t="str">
        <f>if(QuotesCheckJudgeAbstract&lt;&gt;"",QuotesCheckJudgeAbstract,if(or(QuotesCheckJudge="",and(QuotesCheckJudge = "primeiro", QuotesCheckChallengeRecommendation1 &lt;&gt; "")), QuotesCheckAbstract1,if(and(QuotesCheckJudge = "segundo", QuotesCheckChallengeRecommendation2 &lt;&gt; ""), QuotesCheckAbstract2,"")))</f>
        <v>For project management class, it is necessary to introduce DevOps through direct analogies or using scenarios known to them during teaching.</v>
      </c>
    </row>
    <row r="105">
      <c r="A105" s="22">
        <f>IFERROR(__xludf.DUMMYFUNCTION("if(or(QuotesCheckJudge="""",and(QuotesCheckJudge = ""primeiro"", QuotesCheckChallengeRecommendation1 &lt;&gt; """"),and(QuotesCheckJudge = ""segundo"", QuotesCheckChallengeRecommendation2 &lt;&gt; """")), filter('Quotes-Check'!A105:D105, 'Quotes-Check'!A105:D105&lt;&gt;""g"&amp;"lugluieie""),"""")"),3.0)</f>
        <v>3</v>
      </c>
      <c r="B105" s="22">
        <f>IFERROR(__xludf.DUMMYFUNCTION("""COMPUTED_VALUE"""),10.0)</f>
        <v>10</v>
      </c>
      <c r="C105" s="2" t="str">
        <f>IFERROR(__xludf.DUMMYFUNCTION("""COMPUTED_VALUE"""),"R1 / R3")</f>
        <v>R1 / R3</v>
      </c>
      <c r="D105" s="22" t="str">
        <f>IFERROR(__xludf.DUMMYFUNCTION("""COMPUTED_VALUE"""),"DevSecOps Challenges and Recommendations")</f>
        <v>DevSecOps Challenges and Recommendations</v>
      </c>
      <c r="E105" s="46" t="str">
        <f>IFERROR(__xludf.DUMMYFUNCTION("if(or(QuotesCheckJudge="""",and(QuotesCheckJudge = ""primeiro"", QuotesCheckChallengeRecommendation1 &lt;&gt; """")), filter('Quotes-Check'!E105:F105, 'Quotes-Check'!E105:F105&lt;&gt;""glugluieie""),if(and(QuotesCheckJudge = ""segundo"", QuotesCheckChallengeRecommend"&amp;"ation2 &lt;&gt; """"), filter('Quotes-Check'!I105:J105, 'Quotes-Check'!I105:J105&lt;&gt;""glugluieie""),""""))"),"challenge")</f>
        <v>challenge</v>
      </c>
      <c r="F105" s="22" t="str">
        <f>IFERROR(__xludf.DUMMYFUNCTION("""COMPUTED_VALUE"""),"DevSecOps [...] é o tipo de disciplina que ela exige conhecimento forte em duas áreas, entre ambas distintas, na área de segurança, mas ao mesmo tempo na área de desenvolvimento para conseguir encontrar o elo entre as duas e aí sim, chegar no que o aluno "&amp;"
  ")</f>
        <v>DevSecOps [...] é o tipo de disciplina que ela exige conhecimento forte em duas áreas, entre ambas distintas, na área de segurança, mas ao mesmo tempo na área de desenvolvimento para conseguir encontrar o elo entre as duas e aí sim, chegar no que o aluno 
  </v>
      </c>
      <c r="G105" s="22" t="str">
        <f>if(QuotesCheckJudgeAbstract&lt;&gt;"",QuotesCheckJudgeAbstract,if(or(QuotesCheckJudge="",and(QuotesCheckJudge = "primeiro", QuotesCheckChallengeRecommendation1 &lt;&gt; "")), QuotesCheckAbstract1,if(and(QuotesCheckJudge = "segundo", QuotesCheckChallengeRecommendation2 &lt;&gt; ""), QuotesCheckAbstract2,"")))</f>
        <v>The teacher needs good technical knowledge in the areas of security (especially vulnerability management) and systems development to teach DevSecOps.</v>
      </c>
    </row>
    <row r="106">
      <c r="A106" s="22">
        <f>IFERROR(__xludf.DUMMYFUNCTION("if(or(QuotesCheckJudge="""",and(QuotesCheckJudge = ""primeiro"", QuotesCheckChallengeRecommendation1 &lt;&gt; """"),and(QuotesCheckJudge = ""segundo"", QuotesCheckChallengeRecommendation2 &lt;&gt; """")), filter('Quotes-Check'!A106:D106, 'Quotes-Check'!A106:D106&lt;&gt;""g"&amp;"lugluieie""),"""")"),3.0)</f>
        <v>3</v>
      </c>
      <c r="B106" s="22">
        <f>IFERROR(__xludf.DUMMYFUNCTION("""COMPUTED_VALUE"""),11.0)</f>
        <v>11</v>
      </c>
      <c r="C106" s="40" t="str">
        <f>IFERROR(__xludf.DUMMYFUNCTION("""COMPUTED_VALUE"""),"R1 / R2")</f>
        <v>R1 / R2</v>
      </c>
      <c r="D106" s="22" t="str">
        <f>IFERROR(__xludf.DUMMYFUNCTION("""COMPUTED_VALUE"""),"Other Challenge and Recommendation")</f>
        <v>Other Challenge and Recommendation</v>
      </c>
      <c r="E106" s="46" t="str">
        <f>IFERROR(__xludf.DUMMYFUNCTION("if(or(QuotesCheckJudge="""",and(QuotesCheckJudge = ""primeiro"", QuotesCheckChallengeRecommendation1 &lt;&gt; """")), filter('Quotes-Check'!E106:F106, 'Quotes-Check'!E106:F106&lt;&gt;""glugluieie""),if(and(QuotesCheckJudge = ""segundo"", QuotesCheckChallengeRecommend"&amp;"ation2 &lt;&gt; """"), filter('Quotes-Check'!I106:J106, 'Quotes-Check'!I106:J106&lt;&gt;""glugluieie""),""""))"),"recommendation")</f>
        <v>recommendation</v>
      </c>
      <c r="F106" s="22" t="str">
        <f>IFERROR(__xludf.DUMMYFUNCTION("""COMPUTED_VALUE"""),"sempre focar na cultura, as ferramentas são legais, atraem um aluno, criam um cenário prático, mas ah, erros de implementação de DevOps na prática se dão, principalmente, por empresas e profissionais que não interpretam isso é como uma cultura. ")</f>
        <v>sempre focar na cultura, as ferramentas são legais, atraem um aluno, criam um cenário prático, mas ah, erros de implementação de DevOps na prática se dão, principalmente, por empresas e profissionais que não interpretam isso é como uma cultura. </v>
      </c>
      <c r="G106" s="22" t="str">
        <f>if(QuotesCheckJudgeAbstract&lt;&gt;"",QuotesCheckJudgeAbstract,if(or(QuotesCheckJudge="",and(QuotesCheckJudge = "primeiro", QuotesCheckChallengeRecommendation1 &lt;&gt; "")), QuotesCheckAbstract1,if(and(QuotesCheckJudge = "segundo", QuotesCheckChallengeRecommendation2 &lt;&gt; ""), QuotesCheckAbstract2,"")))</f>
        <v>Emphasize the importance of the DevOps culture and propagate it.</v>
      </c>
    </row>
    <row r="107">
      <c r="A107" s="22">
        <f>IFERROR(__xludf.DUMMYFUNCTION("if(or(QuotesCheckJudge="""",and(QuotesCheckJudge = ""primeiro"", QuotesCheckChallengeRecommendation1 &lt;&gt; """"),and(QuotesCheckJudge = ""segundo"", QuotesCheckChallengeRecommendation2 &lt;&gt; """")), filter('Quotes-Check'!A107:D107, 'Quotes-Check'!A107:D107&lt;&gt;""g"&amp;"lugluieie""),"""")"),4.0)</f>
        <v>4</v>
      </c>
      <c r="B107" s="22">
        <f>IFERROR(__xludf.DUMMYFUNCTION("""COMPUTED_VALUE"""),1.0)</f>
        <v>1</v>
      </c>
      <c r="C107" s="2" t="str">
        <f>IFERROR(__xludf.DUMMYFUNCTION("""COMPUTED_VALUE"""),"R1 / R2")</f>
        <v>R1 / R2</v>
      </c>
      <c r="D107" s="22" t="str">
        <f>IFERROR(__xludf.DUMMYFUNCTION("""COMPUTED_VALUE"""),"General Challenges and Recommendations")</f>
        <v>General Challenges and Recommendations</v>
      </c>
      <c r="E107" s="46" t="str">
        <f>IFERROR(__xludf.DUMMYFUNCTION("if(or(QuotesCheckJudge="""",and(QuotesCheckJudge = ""primeiro"", QuotesCheckChallengeRecommendation1 &lt;&gt; """")), filter('Quotes-Check'!E107:F107, 'Quotes-Check'!E107:F107&lt;&gt;""glugluieie""),if(and(QuotesCheckJudge = ""segundo"", QuotesCheckChallengeRecommend"&amp;"ation2 &lt;&gt; """"), filter('Quotes-Check'!I107:J107, 'Quotes-Check'!I107:J107&lt;&gt;""glugluieie""),""""))"),"challenge")</f>
        <v>challenge</v>
      </c>
      <c r="F107" s="22" t="str">
        <f>IFERROR(__xludf.DUMMYFUNCTION("""COMPUTED_VALUE"""),"O primeiro desafio é desacoplar a ideia de que [...] sobre DevOps [...] entregar uma fórmula")</f>
        <v>O primeiro desafio é desacoplar a ideia de que [...] sobre DevOps [...] entregar uma fórmula</v>
      </c>
      <c r="G107"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explaining to students that DevOps is not just about tools.</v>
      </c>
    </row>
    <row r="108">
      <c r="A108" s="22">
        <f>IFERROR(__xludf.DUMMYFUNCTION("if(or(QuotesCheckJudge="""",and(QuotesCheckJudge = ""primeiro"", QuotesCheckChallengeRecommendation1 &lt;&gt; """"),and(QuotesCheckJudge = ""segundo"", QuotesCheckChallengeRecommendation2 &lt;&gt; """")), filter('Quotes-Check'!A108:D108, 'Quotes-Check'!A108:D108&lt;&gt;""g"&amp;"lugluieie""),"""")"),4.0)</f>
        <v>4</v>
      </c>
      <c r="B108" s="22">
        <f>IFERROR(__xludf.DUMMYFUNCTION("""COMPUTED_VALUE"""),1.0)</f>
        <v>1</v>
      </c>
      <c r="C108" s="40" t="str">
        <f>IFERROR(__xludf.DUMMYFUNCTION("""COMPUTED_VALUE"""),"R1 / R2")</f>
        <v>R1 / R2</v>
      </c>
      <c r="D108" s="22" t="str">
        <f>IFERROR(__xludf.DUMMYFUNCTION("""COMPUTED_VALUE"""),"General Challenges and Recommendations")</f>
        <v>General Challenges and Recommendations</v>
      </c>
      <c r="E108" s="46" t="str">
        <f>IFERROR(__xludf.DUMMYFUNCTION("if(or(QuotesCheckJudge="""",and(QuotesCheckJudge = ""primeiro"", QuotesCheckChallengeRecommendation1 &lt;&gt; """")), filter('Quotes-Check'!E108:F108, 'Quotes-Check'!E108:F108&lt;&gt;""glugluieie""),if(and(QuotesCheckJudge = ""segundo"", QuotesCheckChallengeRecommend"&amp;"ation2 &lt;&gt; """"), filter('Quotes-Check'!I108:J108, 'Quotes-Check'!I108:J108&lt;&gt;""glugluieie""),""""))"),"recommendation")</f>
        <v>recommendation</v>
      </c>
      <c r="F108" s="22" t="str">
        <f>IFERROR(__xludf.DUMMYFUNCTION("""COMPUTED_VALUE"""),"explicar como a metodologia pode ser aplicada, com exemplos e, inclusive, ferramentas. ")</f>
        <v>explicar como a metodologia pode ser aplicada, com exemplos e, inclusive, ferramentas. </v>
      </c>
      <c r="G108" s="22" t="str">
        <f>if(QuotesCheckJudgeAbstract&lt;&gt;"",QuotesCheckJudgeAbstract,if(or(QuotesCheckJudge="",and(QuotesCheckJudge = "primeiro", QuotesCheckChallengeRecommendation1 &lt;&gt; "")), QuotesCheckAbstract1,if(and(QuotesCheckJudge = "segundo", QuotesCheckChallengeRecommendation2 &lt;&gt; ""), QuotesCheckAbstract2,"")))</f>
        <v>During the explanation of how to apply devops methodology, make use of example including tools.</v>
      </c>
    </row>
    <row r="109">
      <c r="A109" s="22">
        <f>IFERROR(__xludf.DUMMYFUNCTION("if(or(QuotesCheckJudge="""",and(QuotesCheckJudge = ""primeiro"", QuotesCheckChallengeRecommendation1 &lt;&gt; """"),and(QuotesCheckJudge = ""segundo"", QuotesCheckChallengeRecommendation2 &lt;&gt; """")), filter('Quotes-Check'!A109:D109, 'Quotes-Check'!A109:D109&lt;&gt;""g"&amp;"lugluieie""),"""")"),4.0)</f>
        <v>4</v>
      </c>
      <c r="B109" s="22">
        <f>IFERROR(__xludf.DUMMYFUNCTION("""COMPUTED_VALUE"""),1.0)</f>
        <v>1</v>
      </c>
      <c r="C109" s="2" t="str">
        <f>IFERROR(__xludf.DUMMYFUNCTION("""COMPUTED_VALUE"""),"R1 / R2")</f>
        <v>R1 / R2</v>
      </c>
      <c r="D109" s="22" t="str">
        <f>IFERROR(__xludf.DUMMYFUNCTION("""COMPUTED_VALUE"""),"General Challenges and Recommendations")</f>
        <v>General Challenges and Recommendations</v>
      </c>
      <c r="E109" s="46" t="str">
        <f>IFERROR(__xludf.DUMMYFUNCTION("if(or(QuotesCheckJudge="""",and(QuotesCheckJudge = ""primeiro"", QuotesCheckChallengeRecommendation1 &lt;&gt; """")), filter('Quotes-Check'!E109:F109, 'Quotes-Check'!E109:F109&lt;&gt;""glugluieie""),if(and(QuotesCheckJudge = ""segundo"", QuotesCheckChallengeRecommend"&amp;"ation2 &lt;&gt; """"), filter('Quotes-Check'!I109:J109, 'Quotes-Check'!I109:J109&lt;&gt;""glugluieie""),""""))"),"challenge")</f>
        <v>challenge</v>
      </c>
      <c r="F109" s="22" t="str">
        <f>IFERROR(__xludf.DUMMYFUNCTION("""COMPUTED_VALUE"""),"os alunos, eles chegam com a ideia de que eles um conjunto de ferramentas X pra entregar no dia a dia deles e ferramentas só um pedaço e um pedaço pequeno dentro do processo de entrega, que é mais cultural e é mais pessoal do que ferramental, né? Organiza"&amp;"cional até, eu diria. ")</f>
        <v>os alunos, eles chegam com a ideia de que eles um conjunto de ferramentas X pra entregar no dia a dia deles e ferramentas só um pedaço e um pedaço pequeno dentro do processo de entrega, que é mais cultural e é mais pessoal do que ferramental, né? Organizacional até, eu diria. </v>
      </c>
      <c r="G109"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in explaining to students that DevOps is not just tooling, it encompasses the cultural part.</v>
      </c>
    </row>
    <row r="110">
      <c r="A110" s="22">
        <f>IFERROR(__xludf.DUMMYFUNCTION("if(or(QuotesCheckJudge="""",and(QuotesCheckJudge = ""primeiro"", QuotesCheckChallengeRecommendation1 &lt;&gt; """"),and(QuotesCheckJudge = ""segundo"", QuotesCheckChallengeRecommendation2 &lt;&gt; """")), filter('Quotes-Check'!A110:D110, 'Quotes-Check'!A110:D110&lt;&gt;""g"&amp;"lugluieie""),"""")"),4.0)</f>
        <v>4</v>
      </c>
      <c r="B110" s="22">
        <f>IFERROR(__xludf.DUMMYFUNCTION("""COMPUTED_VALUE"""),1.0)</f>
        <v>1</v>
      </c>
      <c r="C110" s="2" t="str">
        <f>IFERROR(__xludf.DUMMYFUNCTION("""COMPUTED_VALUE"""),"R1 / R2")</f>
        <v>R1 / R2</v>
      </c>
      <c r="D110" s="22" t="str">
        <f>IFERROR(__xludf.DUMMYFUNCTION("""COMPUTED_VALUE"""),"General Challenges and Recommendations")</f>
        <v>General Challenges and Recommendations</v>
      </c>
      <c r="E110" s="46" t="str">
        <f>IFERROR(__xludf.DUMMYFUNCTION("if(or(QuotesCheckJudge="""",and(QuotesCheckJudge = ""primeiro"", QuotesCheckChallengeRecommendation1 &lt;&gt; """")), filter('Quotes-Check'!E110:F110, 'Quotes-Check'!E110:F110&lt;&gt;""glugluieie""),if(and(QuotesCheckJudge = ""segundo"", QuotesCheckChallengeRecommend"&amp;"ation2 &lt;&gt; """"), filter('Quotes-Check'!I110:J110, 'Quotes-Check'!I110:J110&lt;&gt;""glugluieie""),""""))"),"challenge")</f>
        <v>challenge</v>
      </c>
      <c r="F110" s="22" t="str">
        <f>IFERROR(__xludf.DUMMYFUNCTION("""COMPUTED_VALUE"""),"O segundo desafio são pessoas com experiências distintas [...] você tem turmas que são mistas, assim num ponto do curso onde você fala sobre uma linguagem de programação específica para dar um exemplo. Alguns têm mais familiaridade do que outros. [...] En"&amp;"tão, saber lidar com essas diferenças para deixar o curso agradável a todos e confortável para todos, esse é um grande desafio. ")</f>
        <v>O segundo desafio são pessoas com experiências distintas [...] você tem turmas que são mistas, assim num ponto do curso onde você fala sobre uma linguagem de programação específica para dar um exemplo. Alguns têm mais familiaridade do que outros. [...] Então, saber lidar com essas diferenças para deixar o curso agradável a todos e confortável para todos, esse é um grande desafio. </v>
      </c>
      <c r="G110"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in knowing how to deal with groups of students who have very different experiences.</v>
      </c>
    </row>
    <row r="111">
      <c r="A111" s="22">
        <f>IFERROR(__xludf.DUMMYFUNCTION("if(or(QuotesCheckJudge="""",and(QuotesCheckJudge = ""primeiro"", QuotesCheckChallengeRecommendation1 &lt;&gt; """"),and(QuotesCheckJudge = ""segundo"", QuotesCheckChallengeRecommendation2 &lt;&gt; """")), filter('Quotes-Check'!A111:D111, 'Quotes-Check'!A111:D111&lt;&gt;""g"&amp;"lugluieie""),"""")"),4.0)</f>
        <v>4</v>
      </c>
      <c r="B111" s="22">
        <f>IFERROR(__xludf.DUMMYFUNCTION("""COMPUTED_VALUE"""),2.0)</f>
        <v>2</v>
      </c>
      <c r="C111" s="2" t="str">
        <f>IFERROR(__xludf.DUMMYFUNCTION("""COMPUTED_VALUE"""),"R2 / R3")</f>
        <v>R2 / R3</v>
      </c>
      <c r="D111" s="22" t="str">
        <f>IFERROR(__xludf.DUMMYFUNCTION("""COMPUTED_VALUE"""),"General Challenges and Recommendations")</f>
        <v>General Challenges and Recommendations</v>
      </c>
      <c r="E111" s="46" t="str">
        <f>IFERROR(__xludf.DUMMYFUNCTION("if(or(QuotesCheckJudge="""",and(QuotesCheckJudge = ""primeiro"", QuotesCheckChallengeRecommendation1 &lt;&gt; """")), filter('Quotes-Check'!E111:F111, 'Quotes-Check'!E111:F111&lt;&gt;""glugluieie""),if(and(QuotesCheckJudge = ""segundo"", QuotesCheckChallengeRecommend"&amp;"ation2 &lt;&gt; """"), filter('Quotes-Check'!I111:J111, 'Quotes-Check'!I111:J111&lt;&gt;""glugluieie""),""""))"),"challenge")</f>
        <v>challenge</v>
      </c>
      <c r="F111" s="22" t="str">
        <f>IFERROR(__xludf.DUMMYFUNCTION("""COMPUTED_VALUE"""),"Como as pessoas ficam remotas, basicamente, pros treinamentos, são vários fatores que influenciam a didática. O ambiente da casa, mesmo, que a pessoa, às vezes, não mora sozinha, ou tem filhos, filhas. Isso não é um problema pra gente, pra eu, professor, "&amp;"como professor, mas pra pessoa, às vezes, não pode abrir uma câmera. Não consegue fazer uma então, lidar com essas diferenças dentro da pandemia é importante. Não é um problema, mas é um ponto de e também as diferenças das da infraestrutura que a pessoa t"&amp;"em pra fazer o curso. Uma máquina um pouco mais nova, mais antiga, pré-configurada pro trabalho, tem tem empresas que já deixam a máquina pronta pro dia a dia e o curso usa outras configurações que são desafios que a gente tem com os alunos pra falar, olh"&amp;"a, preciso de uma versão X, da e a pessoa não tem a permissão de instalação. 
")</f>
        <v>Como as pessoas ficam remotas, basicamente, pros treinamentos, são vários fatores que influenciam a didática. O ambiente da casa, mesmo, que a pessoa, às vezes, não mora sozinha, ou tem filhos, filhas. Isso não é um problema pra gente, pra eu, professor, como professor, mas pra pessoa, às vezes, não pode abrir uma câmera. Não consegue fazer uma então, lidar com essas diferenças dentro da pandemia é importante. Não é um problema, mas é um ponto de e também as diferenças das da infraestrutura que a pessoa tem pra fazer o curso. Uma máquina um pouco mais nova, mais antiga, pré-configurada pro trabalho, tem tem empresas que já deixam a máquina pronta pro dia a dia e o curso usa outras configurações que são desafios que a gente tem com os alunos pra falar, olha, preciso de uma versão X, da e a pessoa não tem a permissão de instalação. 
</v>
      </c>
      <c r="G111"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Difficulties in remote work with students: privacy, availability, infrastructure differences, environment configuration.</v>
      </c>
    </row>
    <row r="112">
      <c r="A112" s="22">
        <f>IFERROR(__xludf.DUMMYFUNCTION("if(or(QuotesCheckJudge="""",and(QuotesCheckJudge = ""primeiro"", QuotesCheckChallengeRecommendation1 &lt;&gt; """"),and(QuotesCheckJudge = ""segundo"", QuotesCheckChallengeRecommendation2 &lt;&gt; """")), filter('Quotes-Check'!A112:D112, 'Quotes-Check'!A112:D112&lt;&gt;""g"&amp;"lugluieie""),"""")"),4.0)</f>
        <v>4</v>
      </c>
      <c r="B112" s="22">
        <f>IFERROR(__xludf.DUMMYFUNCTION("""COMPUTED_VALUE"""),2.0)</f>
        <v>2</v>
      </c>
      <c r="C112" s="2" t="str">
        <f>IFERROR(__xludf.DUMMYFUNCTION("""COMPUTED_VALUE"""),"R2 / R3")</f>
        <v>R2 / R3</v>
      </c>
      <c r="D112" s="22" t="str">
        <f>IFERROR(__xludf.DUMMYFUNCTION("""COMPUTED_VALUE"""),"General Challenges and Recommendations")</f>
        <v>General Challenges and Recommendations</v>
      </c>
      <c r="E112" s="46" t="str">
        <f>IFERROR(__xludf.DUMMYFUNCTION("if(or(QuotesCheckJudge="""",and(QuotesCheckJudge = ""primeiro"", QuotesCheckChallengeRecommendation1 &lt;&gt; """")), filter('Quotes-Check'!E112:F112, 'Quotes-Check'!E112:F112&lt;&gt;""glugluieie""),if(and(QuotesCheckJudge = ""segundo"", QuotesCheckChallengeRecommend"&amp;"ation2 &lt;&gt; """"), filter('Quotes-Check'!I112:J112, 'Quotes-Check'!I112:J112&lt;&gt;""glugluieie""),""""))"),"challenge")</f>
        <v>challenge</v>
      </c>
      <c r="F112" s="22" t="str">
        <f>IFERROR(__xludf.DUMMYFUNCTION("""COMPUTED_VALUE"""),"é o desafio cultural mesmo de eu não vou entregar uma receita pronta...")</f>
        <v>é o desafio cultural mesmo de eu não vou entregar uma receita pronta...</v>
      </c>
      <c r="G112" s="22" t="str">
        <f>if(QuotesCheckJudgeAbstract&lt;&gt;"",QuotesCheckJudgeAbstract,if(or(QuotesCheckJudge="",and(QuotesCheckJudge = "primeiro", QuotesCheckChallengeRecommendation1 &lt;&gt; "")), QuotesCheckAbstract1,if(and(QuotesCheckJudge = "segundo", QuotesCheckChallengeRecommendation2 &lt;&gt; ""), QuotesCheckAbstract2,"")))</f>
        <v>There is no ready-made recipe to teach the DevOps mindset (culture).</v>
      </c>
    </row>
    <row r="113">
      <c r="A113" s="22">
        <f>IFERROR(__xludf.DUMMYFUNCTION("if(or(QuotesCheckJudge="""",and(QuotesCheckJudge = ""primeiro"", QuotesCheckChallengeRecommendation1 &lt;&gt; """"),and(QuotesCheckJudge = ""segundo"", QuotesCheckChallengeRecommendation2 &lt;&gt; """")), filter('Quotes-Check'!A113:D113, 'Quotes-Check'!A113:D113&lt;&gt;""g"&amp;"lugluieie""),"""")"),4.0)</f>
        <v>4</v>
      </c>
      <c r="B113" s="22">
        <f>IFERROR(__xludf.DUMMYFUNCTION("""COMPUTED_VALUE"""),2.0)</f>
        <v>2</v>
      </c>
      <c r="C113" s="40" t="str">
        <f>IFERROR(__xludf.DUMMYFUNCTION("""COMPUTED_VALUE"""),"R2 / R3")</f>
        <v>R2 / R3</v>
      </c>
      <c r="D113" s="22" t="str">
        <f>IFERROR(__xludf.DUMMYFUNCTION("""COMPUTED_VALUE"""),"General Challenges and Recommendations")</f>
        <v>General Challenges and Recommendations</v>
      </c>
      <c r="E113" s="46" t="str">
        <f>IFERROR(__xludf.DUMMYFUNCTION("if(or(QuotesCheckJudge="""",and(QuotesCheckJudge = ""primeiro"", QuotesCheckChallengeRecommendation1 &lt;&gt; """")), filter('Quotes-Check'!E113:F113, 'Quotes-Check'!E113:F113&lt;&gt;""glugluieie""),if(and(QuotesCheckJudge = ""segundo"", QuotesCheckChallengeRecommend"&amp;"ation2 &lt;&gt; """"), filter('Quotes-Check'!I113:J113, 'Quotes-Check'!I113:J113&lt;&gt;""glugluieie""),""""))"),"recommendation")</f>
        <v>recommendation</v>
      </c>
      <c r="F113" s="22" t="str">
        <f>IFERROR(__xludf.DUMMYFUNCTION("""COMPUTED_VALUE"""),"eu não vou entregar uma receita pronta, eu vou usar ferramentas diversas. metodologias diversas que também são ferramentas para que elas tentem aplicar dentro do processo deles")</f>
        <v>eu não vou entregar uma receita pronta, eu vou usar ferramentas diversas. metodologias diversas que também são ferramentas para que elas tentem aplicar dentro do processo deles</v>
      </c>
      <c r="G113" s="22" t="str">
        <f>if(QuotesCheckJudgeAbstract&lt;&gt;"",QuotesCheckJudgeAbstract,if(or(QuotesCheckJudge="",and(QuotesCheckJudge = "primeiro", QuotesCheckChallengeRecommendation1 &lt;&gt; "")), QuotesCheckAbstract1,if(and(QuotesCheckJudge = "segundo", QuotesCheckChallengeRecommendation2 &lt;&gt; ""), QuotesCheckAbstract2,"")))</f>
        <v>Use different tools and methodologies.</v>
      </c>
    </row>
    <row r="114">
      <c r="A114" s="22">
        <f>IFERROR(__xludf.DUMMYFUNCTION("if(or(QuotesCheckJudge="""",and(QuotesCheckJudge = ""primeiro"", QuotesCheckChallengeRecommendation1 &lt;&gt; """"),and(QuotesCheckJudge = ""segundo"", QuotesCheckChallengeRecommendation2 &lt;&gt; """")), filter('Quotes-Check'!A114:D114, 'Quotes-Check'!A114:D114&lt;&gt;""g"&amp;"lugluieie""),"""")"),4.0)</f>
        <v>4</v>
      </c>
      <c r="B114" s="22">
        <f>IFERROR(__xludf.DUMMYFUNCTION("""COMPUTED_VALUE"""),3.0)</f>
        <v>3</v>
      </c>
      <c r="C114" s="40" t="str">
        <f>IFERROR(__xludf.DUMMYFUNCTION("""COMPUTED_VALUE"""),"R1 / R3")</f>
        <v>R1 / R3</v>
      </c>
      <c r="D114" s="22" t="str">
        <f>IFERROR(__xludf.DUMMYFUNCTION("""COMPUTED_VALUE"""),"General Challenges and Recommendations")</f>
        <v>General Challenges and Recommendations</v>
      </c>
      <c r="E114" s="46" t="str">
        <f>IFERROR(__xludf.DUMMYFUNCTION("if(or(QuotesCheckJudge="""",and(QuotesCheckJudge = ""primeiro"", QuotesCheckChallengeRecommendation1 &lt;&gt; """")), filter('Quotes-Check'!E114:F114, 'Quotes-Check'!E114:F114&lt;&gt;""glugluieie""),if(and(QuotesCheckJudge = ""segundo"", QuotesCheckChallengeRecommend"&amp;"ation2 &lt;&gt; """"), filter('Quotes-Check'!I114:J114, 'Quotes-Check'!I114:J114&lt;&gt;""glugluieie""),""""))"),"recommendation")</f>
        <v>recommendation</v>
      </c>
      <c r="F114" s="22" t="str">
        <f>IFERROR(__xludf.DUMMYFUNCTION("""COMPUTED_VALUE""")," E DevOps muito em enxergar isso, elas têm background diferentes, elas têm histórias de vida diferente, experiências que marcaram elas de maneiras distintas e saber na hora de apresentar uma ferramenta nova, ouvir o que essas pessoas têm.")</f>
        <v> E DevOps muito em enxergar isso, elas têm background diferentes, elas têm histórias de vida diferente, experiências que marcaram elas de maneiras distintas e saber na hora de apresentar uma ferramenta nova, ouvir o que essas pessoas têm.</v>
      </c>
      <c r="G114" s="22" t="str">
        <f>if(QuotesCheckJudgeAbstract&lt;&gt;"",QuotesCheckJudgeAbstract,if(or(QuotesCheckJudge="",and(QuotesCheckJudge = "primeiro", QuotesCheckChallengeRecommendation1 &lt;&gt; "")), QuotesCheckAbstract1,if(and(QuotesCheckJudge = "segundo", QuotesCheckChallengeRecommendation2 &lt;&gt; ""), QuotesCheckAbstract2,"")))</f>
        <v>We seek a communication between students and teachers, where attention is paid to the students' opinions.</v>
      </c>
    </row>
    <row r="115">
      <c r="A115" s="22">
        <f>IFERROR(__xludf.DUMMYFUNCTION("if(or(QuotesCheckJudge="""",and(QuotesCheckJudge = ""primeiro"", QuotesCheckChallengeRecommendation1 &lt;&gt; """"),and(QuotesCheckJudge = ""segundo"", QuotesCheckChallengeRecommendation2 &lt;&gt; """")), filter('Quotes-Check'!A115:D115, 'Quotes-Check'!A115:D115&lt;&gt;""g"&amp;"lugluieie""),"""")"),4.0)</f>
        <v>4</v>
      </c>
      <c r="B115" s="22">
        <f>IFERROR(__xludf.DUMMYFUNCTION("""COMPUTED_VALUE"""),3.0)</f>
        <v>3</v>
      </c>
      <c r="C115" s="40" t="str">
        <f>IFERROR(__xludf.DUMMYFUNCTION("""COMPUTED_VALUE"""),"R1 / R3")</f>
        <v>R1 / R3</v>
      </c>
      <c r="D115" s="22" t="str">
        <f>IFERROR(__xludf.DUMMYFUNCTION("""COMPUTED_VALUE"""),"General Challenges and Recommendations")</f>
        <v>General Challenges and Recommendations</v>
      </c>
      <c r="E115" s="46" t="str">
        <f>IFERROR(__xludf.DUMMYFUNCTION("if(or(QuotesCheckJudge="""",and(QuotesCheckJudge = ""primeiro"", QuotesCheckChallengeRecommendation1 &lt;&gt; """")), filter('Quotes-Check'!E115:F115, 'Quotes-Check'!E115:F115&lt;&gt;""glugluieie""),if(and(QuotesCheckJudge = ""segundo"", QuotesCheckChallengeRecommend"&amp;"ation2 &lt;&gt; """"), filter('Quotes-Check'!I115:J115, 'Quotes-Check'!I115:J115&lt;&gt;""glugluieie""),""""))"),"recommendation")</f>
        <v>recommendation</v>
      </c>
      <c r="F115" s="22" t="str">
        <f>IFERROR(__xludf.DUMMYFUNCTION("""COMPUTED_VALUE"""),"  Então, se alguma pessoa teve uma experiência mais traumática em tal etapa do processo de entrega, você saber usar isso na hora certa com ela e personificar com ela, falar, olha, como você me disse naquela parte, uma solução que talvez funcionaria pra vo"&amp;"cê, de novo, porque não tem solução pronta, seria aplicar essa tecnologia para tentar mitigar ou resolver. ")</f>
        <v>  Então, se alguma pessoa teve uma experiência mais traumática em tal etapa do processo de entrega, você saber usar isso na hora certa com ela e personificar com ela, falar, olha, como você me disse naquela parte, uma solução que talvez funcionaria pra você, de novo, porque não tem solução pronta, seria aplicar essa tecnologia para tentar mitigar ou resolver. </v>
      </c>
      <c r="G115" s="22" t="str">
        <f>if(QuotesCheckJudgeAbstract&lt;&gt;"",QuotesCheckJudgeAbstract,if(or(QuotesCheckJudge="",and(QuotesCheckJudge = "primeiro", QuotesCheckChallengeRecommendation1 &lt;&gt; "")), QuotesCheckAbstract1,if(and(QuotesCheckJudge = "segundo", QuotesCheckChallengeRecommendation2 &lt;&gt; ""), QuotesCheckAbstract2,"")))</f>
        <v>During the explanations, make use of the difficulties, opinions and experiences faced by the students, pointing out solutions using Devops.</v>
      </c>
    </row>
    <row r="116">
      <c r="A116" s="22">
        <f>IFERROR(__xludf.DUMMYFUNCTION("if(or(QuotesCheckJudge="""",and(QuotesCheckJudge = ""primeiro"", QuotesCheckChallengeRecommendation1 &lt;&gt; """"),and(QuotesCheckJudge = ""segundo"", QuotesCheckChallengeRecommendation2 &lt;&gt; """")), filter('Quotes-Check'!A116:D116, 'Quotes-Check'!A116:D116&lt;&gt;""g"&amp;"lugluieie""),"""")"),4.0)</f>
        <v>4</v>
      </c>
      <c r="B116" s="22">
        <f>IFERROR(__xludf.DUMMYFUNCTION("""COMPUTED_VALUE"""),3.0)</f>
        <v>3</v>
      </c>
      <c r="C116" s="2" t="str">
        <f>IFERROR(__xludf.DUMMYFUNCTION("""COMPUTED_VALUE"""),"R1 / R3")</f>
        <v>R1 / R3</v>
      </c>
      <c r="D116" s="22" t="str">
        <f>IFERROR(__xludf.DUMMYFUNCTION("""COMPUTED_VALUE"""),"General Challenges and Recommendations")</f>
        <v>General Challenges and Recommendations</v>
      </c>
      <c r="E116" s="46" t="str">
        <f>IFERROR(__xludf.DUMMYFUNCTION("if(or(QuotesCheckJudge="""",and(QuotesCheckJudge = ""primeiro"", QuotesCheckChallengeRecommendation1 &lt;&gt; """")), filter('Quotes-Check'!E116:F116, 'Quotes-Check'!E116:F116&lt;&gt;""glugluieie""),if(and(QuotesCheckJudge = ""segundo"", QuotesCheckChallengeRecommend"&amp;"ation2 &lt;&gt; """"), filter('Quotes-Check'!I116:J116, 'Quotes-Check'!I116:J116&lt;&gt;""glugluieie""),""""))"),"challenge")</f>
        <v>challenge</v>
      </c>
      <c r="F116" s="22" t="str">
        <f>IFERROR(__xludf.DUMMYFUNCTION("""COMPUTED_VALUE"""),"a gente tem um acordo comum, um acordo não, é uma convenção que nós temos que é o seguinte, as pessoas são diferentes, viu?  ... elas têm background diferentes, elas têm histórias de vida diferente, experiências que marcaram elas de maneiras distintas ")</f>
        <v>a gente tem um acordo comum, um acordo não, é uma convenção que nós temos que é o seguinte, as pessoas são diferentes, viu?  ... elas têm background diferentes, elas têm histórias de vida diferente, experiências que marcaram elas de maneiras distintas </v>
      </c>
      <c r="G116" s="22" t="str">
        <f>if(QuotesCheckJudgeAbstract&lt;&gt;"",QuotesCheckJudgeAbstract,if(or(QuotesCheckJudge="",and(QuotesCheckJudge = "primeiro", QuotesCheckChallengeRecommendation1 &lt;&gt; "")), QuotesCheckAbstract1,if(and(QuotesCheckJudge = "segundo", QuotesCheckChallengeRecommendation2 &lt;&gt; ""), QuotesCheckAbstract2,"")))</f>
        <v>Students in a class have different backgrounds, life stories and experiences.</v>
      </c>
    </row>
    <row r="117">
      <c r="A117" s="22">
        <f>IFERROR(__xludf.DUMMYFUNCTION("if(or(QuotesCheckJudge="""",and(QuotesCheckJudge = ""primeiro"", QuotesCheckChallengeRecommendation1 &lt;&gt; """"),and(QuotesCheckJudge = ""segundo"", QuotesCheckChallengeRecommendation2 &lt;&gt; """")), filter('Quotes-Check'!A117:D117, 'Quotes-Check'!A117:D117&lt;&gt;""g"&amp;"lugluieie""),"""")"),4.0)</f>
        <v>4</v>
      </c>
      <c r="B117" s="22">
        <f>IFERROR(__xludf.DUMMYFUNCTION("""COMPUTED_VALUE"""),4.0)</f>
        <v>4</v>
      </c>
      <c r="C117" s="2" t="str">
        <f>IFERROR(__xludf.DUMMYFUNCTION("""COMPUTED_VALUE"""),"R1 / R3")</f>
        <v>R1 / R3</v>
      </c>
      <c r="D117" s="22" t="str">
        <f>IFERROR(__xludf.DUMMYFUNCTION("""COMPUTED_VALUE"""),"Environment Setup")</f>
        <v>Environment Setup</v>
      </c>
      <c r="E117" s="46" t="str">
        <f>IFERROR(__xludf.DUMMYFUNCTION("if(or(QuotesCheckJudge="""",and(QuotesCheckJudge = ""primeiro"", QuotesCheckChallengeRecommendation1 &lt;&gt; """")), filter('Quotes-Check'!E117:F117, 'Quotes-Check'!E117:F117&lt;&gt;""glugluieie""),if(and(QuotesCheckJudge = ""segundo"", QuotesCheckChallengeRecommend"&amp;"ation2 &lt;&gt; """"), filter('Quotes-Check'!I117:J117, 'Quotes-Check'!I117:J117&lt;&gt;""glugluieie""),""""))"),"challenge")</f>
        <v>challenge</v>
      </c>
      <c r="F117" s="22" t="str">
        <f>IFERROR(__xludf.DUMMYFUNCTION("""COMPUTED_VALUE"""),"restrição de capacidade da máquina do aluno")</f>
        <v>restrição de capacidade da máquina do aluno</v>
      </c>
      <c r="G117" s="22" t="str">
        <f>if(QuotesCheckJudgeAbstract&lt;&gt;"",QuotesCheckJudgeAbstract,if(or(QuotesCheckJudge="",and(QuotesCheckJudge = "primeiro", QuotesCheckChallengeRecommendation1 &lt;&gt; "")), QuotesCheckAbstract1,if(and(QuotesCheckJudge = "segundo", QuotesCheckChallengeRecommendation2 &lt;&gt; ""), QuotesCheckAbstract2,"")))</f>
        <v>Students may have learning difficulties due to their machine's capacity constraints.</v>
      </c>
    </row>
    <row r="118">
      <c r="A118" s="22">
        <f>IFERROR(__xludf.DUMMYFUNCTION("if(or(QuotesCheckJudge="""",and(QuotesCheckJudge = ""primeiro"", QuotesCheckChallengeRecommendation1 &lt;&gt; """"),and(QuotesCheckJudge = ""segundo"", QuotesCheckChallengeRecommendation2 &lt;&gt; """")), filter('Quotes-Check'!A118:D118, 'Quotes-Check'!A118:D118&lt;&gt;""g"&amp;"lugluieie""),"""")"),4.0)</f>
        <v>4</v>
      </c>
      <c r="B118" s="22">
        <f>IFERROR(__xludf.DUMMYFUNCTION("""COMPUTED_VALUE"""),4.0)</f>
        <v>4</v>
      </c>
      <c r="C118" s="2" t="str">
        <f>IFERROR(__xludf.DUMMYFUNCTION("""COMPUTED_VALUE"""),"R1 / R3")</f>
        <v>R1 / R3</v>
      </c>
      <c r="D118" s="22" t="str">
        <f>IFERROR(__xludf.DUMMYFUNCTION("""COMPUTED_VALUE"""),"Environment Setup")</f>
        <v>Environment Setup</v>
      </c>
      <c r="E118" s="46" t="str">
        <f>IFERROR(__xludf.DUMMYFUNCTION("if(or(QuotesCheckJudge="""",and(QuotesCheckJudge = ""primeiro"", QuotesCheckChallengeRecommendation1 &lt;&gt; """")), filter('Quotes-Check'!E118:F118, 'Quotes-Check'!E118:F118&lt;&gt;""glugluieie""),if(and(QuotesCheckJudge = ""segundo"", QuotesCheckChallengeRecommend"&amp;"ation2 &lt;&gt; """"), filter('Quotes-Check'!I118:J118, 'Quotes-Check'!I118:J118&lt;&gt;""glugluieie""),""""))"),"challenge")</f>
        <v>challenge</v>
      </c>
      <c r="F118" s="22" t="str">
        <f>IFERROR(__xludf.DUMMYFUNCTION("""COMPUTED_VALUE"""),"Para quem é de infraestrutura e só está acostumado a acessar o servidor, você fazer o build com uma ferramenta como o Maven, por exemplo, pode ser um desafio pra ele ")</f>
        <v>Para quem é de infraestrutura e só está acostumado a acessar o servidor, você fazer o build com uma ferramenta como o Maven, por exemplo, pode ser um desafio pra ele </v>
      </c>
      <c r="G118" s="22" t="str">
        <f>if(QuotesCheckJudgeAbstract&lt;&gt;"",QuotesCheckJudgeAbstract,if(or(QuotesCheckJudge="",and(QuotesCheckJudge = "primeiro", QuotesCheckChallengeRecommendation1 &lt;&gt; "")), QuotesCheckAbstract1,if(and(QuotesCheckJudge = "segundo", QuotesCheckChallengeRecommendation2 &lt;&gt; ""), QuotesCheckAbstract2,"")))</f>
        <v>It is challenging for students with an operating background to carry out software development activities, such as generating a build with the maven tool.</v>
      </c>
    </row>
    <row r="119">
      <c r="A119" s="22">
        <f>IFERROR(__xludf.DUMMYFUNCTION("if(or(QuotesCheckJudge="""",and(QuotesCheckJudge = ""primeiro"", QuotesCheckChallengeRecommendation1 &lt;&gt; """"),and(QuotesCheckJudge = ""segundo"", QuotesCheckChallengeRecommendation2 &lt;&gt; """")), filter('Quotes-Check'!A119:D119, 'Quotes-Check'!A119:D119&lt;&gt;""g"&amp;"lugluieie""),"""")"),4.0)</f>
        <v>4</v>
      </c>
      <c r="B119" s="22">
        <f>IFERROR(__xludf.DUMMYFUNCTION("""COMPUTED_VALUE"""),4.0)</f>
        <v>4</v>
      </c>
      <c r="C119" s="40" t="str">
        <f>IFERROR(__xludf.DUMMYFUNCTION("""COMPUTED_VALUE"""),"R1 / R3")</f>
        <v>R1 / R3</v>
      </c>
      <c r="D119" s="22" t="str">
        <f>IFERROR(__xludf.DUMMYFUNCTION("""COMPUTED_VALUE"""),"Environment Setup")</f>
        <v>Environment Setup</v>
      </c>
      <c r="E119" s="46" t="str">
        <f>IFERROR(__xludf.DUMMYFUNCTION("if(or(QuotesCheckJudge="""",and(QuotesCheckJudge = ""primeiro"", QuotesCheckChallengeRecommendation1 &lt;&gt; """")), filter('Quotes-Check'!E119:F119, 'Quotes-Check'!E119:F119&lt;&gt;""glugluieie""),if(and(QuotesCheckJudge = ""segundo"", QuotesCheckChallengeRecommend"&amp;"ation2 &lt;&gt; """"), filter('Quotes-Check'!I119:J119, 'Quotes-Check'!I119:J119&lt;&gt;""glugluieie""),""""))"),"recommendation")</f>
        <v>recommendation</v>
      </c>
      <c r="F119" s="22" t="str">
        <f>IFERROR(__xludf.DUMMYFUNCTION("""COMPUTED_VALUE"""),"eu recomendo [...] Mover toda a didática para uma nuvem. [...] entre em contato com a AWS, que eles têm um programa de estudantes, ou com o Google, com Ali Baba, com Azure, com a IBM Cloud. ")</f>
        <v>eu recomendo [...] Mover toda a didática para uma nuvem. [...] entre em contato com a AWS, que eles têm um programa de estudantes, ou com o Google, com Ali Baba, com Azure, com a IBM Cloud. </v>
      </c>
      <c r="G119" s="22" t="str">
        <f>if(QuotesCheckJudgeAbstract&lt;&gt;"",QuotesCheckJudgeAbstract,if(or(QuotesCheckJudge="",and(QuotesCheckJudge = "primeiro", QuotesCheckChallengeRecommendation1 &lt;&gt; "")), QuotesCheckAbstract1,if(and(QuotesCheckJudge = "segundo", QuotesCheckChallengeRecommendation2 &lt;&gt; ""), QuotesCheckAbstract2,"")))</f>
        <v>Use student program cloud services like AWS, Google, Azure or IBM Cloud to eliminate hardware and network limitation for students.</v>
      </c>
    </row>
    <row r="120">
      <c r="A120" s="22">
        <f>IFERROR(__xludf.DUMMYFUNCTION("if(or(QuotesCheckJudge="""",and(QuotesCheckJudge = ""primeiro"", QuotesCheckChallengeRecommendation1 &lt;&gt; """"),and(QuotesCheckJudge = ""segundo"", QuotesCheckChallengeRecommendation2 &lt;&gt; """")), filter('Quotes-Check'!A120:D120, 'Quotes-Check'!A120:D120&lt;&gt;""g"&amp;"lugluieie""),"""")"),4.0)</f>
        <v>4</v>
      </c>
      <c r="B120" s="22">
        <f>IFERROR(__xludf.DUMMYFUNCTION("""COMPUTED_VALUE"""),4.0)</f>
        <v>4</v>
      </c>
      <c r="C120" s="40" t="str">
        <f>IFERROR(__xludf.DUMMYFUNCTION("""COMPUTED_VALUE"""),"R1 / R3")</f>
        <v>R1 / R3</v>
      </c>
      <c r="D120" s="22" t="str">
        <f>IFERROR(__xludf.DUMMYFUNCTION("""COMPUTED_VALUE"""),"Environment Setup")</f>
        <v>Environment Setup</v>
      </c>
      <c r="E120" s="46" t="str">
        <f>IFERROR(__xludf.DUMMYFUNCTION("if(or(QuotesCheckJudge="""",and(QuotesCheckJudge = ""primeiro"", QuotesCheckChallengeRecommendation1 &lt;&gt; """")), filter('Quotes-Check'!E120:F120, 'Quotes-Check'!E120:F120&lt;&gt;""glugluieie""),if(and(QuotesCheckJudge = ""segundo"", QuotesCheckChallengeRecommend"&amp;"ation2 &lt;&gt; """"), filter('Quotes-Check'!I120:J120, 'Quotes-Check'!I120:J120&lt;&gt;""glugluieie""),""""))"),"recommendation")</f>
        <v>recommendation</v>
      </c>
      <c r="F120" s="22" t="str">
        <f>IFERROR(__xludf.DUMMYFUNCTION("""COMPUTED_VALUE"""),"Nem usar VM, máquinas virtuais, porque a máquina virtual demanda recurso de hardware. E não é sempre que você tem disponibilidade pra subir duas máquinas virtuais na máquina do aluno.")</f>
        <v>Nem usar VM, máquinas virtuais, porque a máquina virtual demanda recurso de hardware. E não é sempre que você tem disponibilidade pra subir duas máquinas virtuais na máquina do aluno.</v>
      </c>
      <c r="G120" s="22" t="str">
        <f>if(QuotesCheckJudgeAbstract&lt;&gt;"",QuotesCheckJudgeAbstract,if(or(QuotesCheckJudge="",and(QuotesCheckJudge = "primeiro", QuotesCheckChallengeRecommendation1 &lt;&gt; "")), QuotesCheckAbstract1,if(and(QuotesCheckJudge = "segundo", QuotesCheckChallengeRecommendation2 &lt;&gt; ""), QuotesCheckAbstract2,"")))</f>
        <v>Avoid using virtual machines because they demand hardware resources, which are not always available on the students' devices.</v>
      </c>
    </row>
    <row r="121">
      <c r="A121" s="22">
        <f>IFERROR(__xludf.DUMMYFUNCTION("if(or(QuotesCheckJudge="""",and(QuotesCheckJudge = ""primeiro"", QuotesCheckChallengeRecommendation1 &lt;&gt; """"),and(QuotesCheckJudge = ""segundo"", QuotesCheckChallengeRecommendation2 &lt;&gt; """")), filter('Quotes-Check'!A121:D121, 'Quotes-Check'!A121:D121&lt;&gt;""g"&amp;"lugluieie""),"""")"),4.0)</f>
        <v>4</v>
      </c>
      <c r="B121" s="22">
        <f>IFERROR(__xludf.DUMMYFUNCTION("""COMPUTED_VALUE"""),4.0)</f>
        <v>4</v>
      </c>
      <c r="C121" s="2" t="str">
        <f>IFERROR(__xludf.DUMMYFUNCTION("""COMPUTED_VALUE"""),"R1 / R3")</f>
        <v>R1 / R3</v>
      </c>
      <c r="D121" s="22" t="str">
        <f>IFERROR(__xludf.DUMMYFUNCTION("""COMPUTED_VALUE"""),"Environment Setup")</f>
        <v>Environment Setup</v>
      </c>
      <c r="E121" s="46" t="str">
        <f>IFERROR(__xludf.DUMMYFUNCTION("if(or(QuotesCheckJudge="""",and(QuotesCheckJudge = ""primeiro"", QuotesCheckChallengeRecommendation1 &lt;&gt; """")), filter('Quotes-Check'!E121:F121, 'Quotes-Check'!E121:F121&lt;&gt;""glugluieie""),if(and(QuotesCheckJudge = ""segundo"", QuotesCheckChallengeRecommend"&amp;"ation2 &lt;&gt; """"), filter('Quotes-Check'!I121:J121, 'Quotes-Check'!I121:J121&lt;&gt;""glugluieie""),""""))"),"challenge")</f>
        <v>challenge</v>
      </c>
      <c r="F121" s="22" t="str">
        <f>IFERROR(__xludf.DUMMYFUNCTION("""COMPUTED_VALUE"""),"a gente depende de internet, vou dar um exemplo muito simples, você vai usar a máquina virtual, por mais que você use o Vagrant, por exemplo, ele precisa baixar uma imagem base. E dependendo da localização do aluno, demora dois minutos e chega a demorar d"&amp;"uas horas. ")</f>
        <v>a gente depende de internet, vou dar um exemplo muito simples, você vai usar a máquina virtual, por mais que você use o Vagrant, por exemplo, ele precisa baixar uma imagem base. E dependendo da localização do aluno, demora dois minutos e chega a demorar duas horas. </v>
      </c>
      <c r="G121" s="22" t="str">
        <f>if(QuotesCheckJudgeAbstract&lt;&gt;"",QuotesCheckJudgeAbstract,if(or(QuotesCheckJudge="",and(QuotesCheckJudge = "primeiro", QuotesCheckChallengeRecommendation1 &lt;&gt; "")), QuotesCheckAbstract1,if(and(QuotesCheckJudge = "segundo", QuotesCheckChallengeRecommendation2 &lt;&gt; ""), QuotesCheckAbstract2,"")))</f>
        <v>Students may have limited internet access. It difficults activities such as downloading OS images to virtual machines.</v>
      </c>
    </row>
    <row r="122">
      <c r="A122" s="22">
        <f>IFERROR(__xludf.DUMMYFUNCTION("if(or(QuotesCheckJudge="""",and(QuotesCheckJudge = ""primeiro"", QuotesCheckChallengeRecommendation1 &lt;&gt; """"),and(QuotesCheckJudge = ""segundo"", QuotesCheckChallengeRecommendation2 &lt;&gt; """")), filter('Quotes-Check'!A122:D122, 'Quotes-Check'!A122:D122&lt;&gt;""g"&amp;"lugluieie""),"""")"),4.0)</f>
        <v>4</v>
      </c>
      <c r="B122" s="22">
        <f>IFERROR(__xludf.DUMMYFUNCTION("""COMPUTED_VALUE"""),4.0)</f>
        <v>4</v>
      </c>
      <c r="C122" s="40" t="str">
        <f>IFERROR(__xludf.DUMMYFUNCTION("""COMPUTED_VALUE"""),"R1 / R3")</f>
        <v>R1 / R3</v>
      </c>
      <c r="D122" s="22" t="str">
        <f>IFERROR(__xludf.DUMMYFUNCTION("""COMPUTED_VALUE"""),"Environment Setup")</f>
        <v>Environment Setup</v>
      </c>
      <c r="E122" s="46" t="str">
        <f>IFERROR(__xludf.DUMMYFUNCTION("if(or(QuotesCheckJudge="""",and(QuotesCheckJudge = ""primeiro"", QuotesCheckChallengeRecommendation1 &lt;&gt; """")), filter('Quotes-Check'!E122:F122, 'Quotes-Check'!E122:F122&lt;&gt;""glugluieie""),if(and(QuotesCheckJudge = ""segundo"", QuotesCheckChallengeRecommend"&amp;"ation2 &lt;&gt; """"), filter('Quotes-Check'!I122:J122, 'Quotes-Check'!I122:J122&lt;&gt;""glugluieie""),""""))"),"recommendation")</f>
        <v>recommendation</v>
      </c>
      <c r="F122" s="22" t="str">
        <f>IFERROR(__xludf.DUMMYFUNCTION("""COMPUTED_VALUE"""),"vou subir o ambiente aqui na AWS usando Terraform. Então, provisione as máquinas dos alunos com TerraForm, já explica pros alunos o que você tá fazendo, na hora certa, dentro do cronograma, mas desacoplar a necessidade de que a infraestrutura,")</f>
        <v>vou subir o ambiente aqui na AWS usando Terraform. Então, provisione as máquinas dos alunos com TerraForm, já explica pros alunos o que você tá fazendo, na hora certa, dentro do cronograma, mas desacoplar a necessidade de que a infraestrutura,</v>
      </c>
      <c r="G122" s="22" t="str">
        <f>if(QuotesCheckJudgeAbstract&lt;&gt;"",QuotesCheckJudgeAbstract,if(or(QuotesCheckJudge="",and(QuotesCheckJudge = "primeiro", QuotesCheckChallengeRecommendation1 &lt;&gt; "")), QuotesCheckAbstract1,if(and(QuotesCheckJudge = "segundo", QuotesCheckChallengeRecommendation2 &lt;&gt; ""), QuotesCheckAbstract2,"")))</f>
        <v>Use Terraform as a provisioning tool (Infrastructure as Code).</v>
      </c>
    </row>
    <row r="123">
      <c r="A123" s="22">
        <f>IFERROR(__xludf.DUMMYFUNCTION("if(or(QuotesCheckJudge="""",and(QuotesCheckJudge = ""primeiro"", QuotesCheckChallengeRecommendation1 &lt;&gt; """"),and(QuotesCheckJudge = ""segundo"", QuotesCheckChallengeRecommendation2 &lt;&gt; """")), filter('Quotes-Check'!A123:D123, 'Quotes-Check'!A123:D123&lt;&gt;""g"&amp;"lugluieie""),"""")"),4.0)</f>
        <v>4</v>
      </c>
      <c r="B123" s="22">
        <f>IFERROR(__xludf.DUMMYFUNCTION("""COMPUTED_VALUE"""),5.0)</f>
        <v>5</v>
      </c>
      <c r="C123" s="2" t="str">
        <f>IFERROR(__xludf.DUMMYFUNCTION("""COMPUTED_VALUE"""),"R1 / R3")</f>
        <v>R1 / R3</v>
      </c>
      <c r="D123" s="22" t="str">
        <f>IFERROR(__xludf.DUMMYFUNCTION("""COMPUTED_VALUE"""),"DevOps Concepts")</f>
        <v>DevOps Concepts</v>
      </c>
      <c r="E123" s="46" t="str">
        <f>IFERROR(__xludf.DUMMYFUNCTION("if(or(QuotesCheckJudge="""",and(QuotesCheckJudge = ""primeiro"", QuotesCheckChallengeRecommendation1 &lt;&gt; """")), filter('Quotes-Check'!E123:F123, 'Quotes-Check'!E123:F123&lt;&gt;""glugluieie""),if(and(QuotesCheckJudge = ""segundo"", QuotesCheckChallengeRecommend"&amp;"ation2 &lt;&gt; """"), filter('Quotes-Check'!I123:J123, 'Quotes-Check'!I123:J123&lt;&gt;""glugluieie""),""""))"),"challenge")</f>
        <v>challenge</v>
      </c>
      <c r="F123" s="22" t="str">
        <f>IFERROR(__xludf.DUMMYFUNCTION("""COMPUTED_VALUE"""),"a expectativa dos alunos entregar alguma coisa, por a mão, porque são pessoas técnicas, é conseguir balancear o que é conceito e o que é prática e mostrar a importância, o valor do que você tá explicando. ")</f>
        <v>a expectativa dos alunos entregar alguma coisa, por a mão, porque são pessoas técnicas, é conseguir balancear o que é conceito e o que é prática e mostrar a importância, o valor do que você tá explicando. </v>
      </c>
      <c r="G123"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balancing theory foundations and make them interesting in the practice.</v>
      </c>
    </row>
    <row r="124">
      <c r="A124" s="22">
        <f>IFERROR(__xludf.DUMMYFUNCTION("if(or(QuotesCheckJudge="""",and(QuotesCheckJudge = ""primeiro"", QuotesCheckChallengeRecommendation1 &lt;&gt; """"),and(QuotesCheckJudge = ""segundo"", QuotesCheckChallengeRecommendation2 &lt;&gt; """")), filter('Quotes-Check'!A124:D124, 'Quotes-Check'!A124:D124&lt;&gt;""g"&amp;"lugluieie""),"""")"),4.0)</f>
        <v>4</v>
      </c>
      <c r="B124" s="22">
        <f>IFERROR(__xludf.DUMMYFUNCTION("""COMPUTED_VALUE"""),5.0)</f>
        <v>5</v>
      </c>
      <c r="C124" s="40" t="str">
        <f>IFERROR(__xludf.DUMMYFUNCTION("""COMPUTED_VALUE"""),"R1 / R3")</f>
        <v>R1 / R3</v>
      </c>
      <c r="D124" s="22" t="str">
        <f>IFERROR(__xludf.DUMMYFUNCTION("""COMPUTED_VALUE"""),"DevOps Concepts")</f>
        <v>DevOps Concepts</v>
      </c>
      <c r="E124" s="46" t="str">
        <f>IFERROR(__xludf.DUMMYFUNCTION("if(or(QuotesCheckJudge="""",and(QuotesCheckJudge = ""primeiro"", QuotesCheckChallengeRecommendation1 &lt;&gt; """")), filter('Quotes-Check'!E124:F124, 'Quotes-Check'!E124:F124&lt;&gt;""glugluieie""),if(and(QuotesCheckJudge = ""segundo"", QuotesCheckChallengeRecommend"&amp;"ation2 &lt;&gt; """"), filter('Quotes-Check'!I124:J124, 'Quotes-Check'!I124:J124&lt;&gt;""glugluieie""),""""))"),"recommendation")</f>
        <v>recommendation</v>
      </c>
      <c r="F124" s="22" t="str">
        <f>IFERROR(__xludf.DUMMYFUNCTION("""COMPUTED_VALUE"""),"colocar a mão em alguma coisa, pelo menos uma vez a cada, depende muito [...] do cronograma, mas a cada, vou colocar a cada oito horas é uma métrica bem subjetiva, mas você passar algo que seja prático a cada oito horas com exemplos que o aluno interaja, "&amp;"pra você não ficar numa palestra de horas a fio falando, é importante, saber dividir e balancear")</f>
        <v>colocar a mão em alguma coisa, pelo menos uma vez a cada, depende muito [...] do cronograma, mas a cada, vou colocar a cada oito horas é uma métrica bem subjetiva, mas você passar algo que seja prático a cada oito horas com exemplos que o aluno interaja, pra você não ficar numa palestra de horas a fio falando, é importante, saber dividir e balancear</v>
      </c>
      <c r="G124" s="22" t="str">
        <f>if(QuotesCheckJudgeAbstract&lt;&gt;"",QuotesCheckJudgeAbstract,if(or(QuotesCheckJudge="",and(QuotesCheckJudge = "primeiro", QuotesCheckChallengeRecommendation1 &lt;&gt; "")), QuotesCheckAbstract1,if(and(QuotesCheckJudge = "segundo", QuotesCheckChallengeRecommendation2 &lt;&gt; ""), QuotesCheckAbstract2,"")))</f>
        <v>Use practical examples regularly for the student to interact.</v>
      </c>
    </row>
    <row r="125">
      <c r="A125" s="22">
        <f>IFERROR(__xludf.DUMMYFUNCTION("if(or(QuotesCheckJudge="""",and(QuotesCheckJudge = ""primeiro"", QuotesCheckChallengeRecommendation1 &lt;&gt; """"),and(QuotesCheckJudge = ""segundo"", QuotesCheckChallengeRecommendation2 &lt;&gt; """")), filter('Quotes-Check'!A125:D125, 'Quotes-Check'!A125:D125&lt;&gt;""g"&amp;"lugluieie""),"""")"),4.0)</f>
        <v>4</v>
      </c>
      <c r="B125" s="22">
        <f>IFERROR(__xludf.DUMMYFUNCTION("""COMPUTED_VALUE"""),5.0)</f>
        <v>5</v>
      </c>
      <c r="C125" s="40" t="str">
        <f>IFERROR(__xludf.DUMMYFUNCTION("""COMPUTED_VALUE"""),"R1 / R3")</f>
        <v>R1 / R3</v>
      </c>
      <c r="D125" s="22" t="str">
        <f>IFERROR(__xludf.DUMMYFUNCTION("""COMPUTED_VALUE"""),"DevOps Concepts")</f>
        <v>DevOps Concepts</v>
      </c>
      <c r="E125" s="46" t="str">
        <f>IFERROR(__xludf.DUMMYFUNCTION("if(or(QuotesCheckJudge="""",and(QuotesCheckJudge = ""primeiro"", QuotesCheckChallengeRecommendation1 &lt;&gt; """")), filter('Quotes-Check'!E125:F125, 'Quotes-Check'!E125:F125&lt;&gt;""glugluieie""),if(and(QuotesCheckJudge = ""segundo"", QuotesCheckChallengeRecommend"&amp;"ation2 &lt;&gt; """"), filter('Quotes-Check'!I125:J125, 'Quotes-Check'!I125:J125&lt;&gt;""glugluieie""),""""))"),"recommendation")</f>
        <v>recommendation</v>
      </c>
      <c r="F125" s="22" t="str">
        <f>IFERROR(__xludf.DUMMYFUNCTION("""COMPUTED_VALUE"""),"Ele tem até vinte, vinte e cinco minutos, ele tem a sua atenção. Então, se você não conseguir quebrar isso, alternar o tom de voz que você fala, interagir com ele, se ficar só falando, você perde o aluno depois de vinte minutos facilmente. ")</f>
        <v>Ele tem até vinte, vinte e cinco minutos, ele tem a sua atenção. Então, se você não conseguir quebrar isso, alternar o tom de voz que você fala, interagir com ele, se ficar só falando, você perde o aluno depois de vinte minutos facilmente. </v>
      </c>
      <c r="G125" s="22" t="str">
        <f>if(QuotesCheckJudgeAbstract&lt;&gt;"",QuotesCheckJudgeAbstract,if(or(QuotesCheckJudge="",and(QuotesCheckJudge = "primeiro", QuotesCheckChallengeRecommendation1 &lt;&gt; "")), QuotesCheckAbstract1,if(and(QuotesCheckJudge = "segundo", QuotesCheckChallengeRecommendation2 &lt;&gt; ""), QuotesCheckAbstract2,"")))</f>
        <v>Interact with the student and break the tone of voice every 20 minutes, inhibiting their loss of attention.</v>
      </c>
    </row>
    <row r="126">
      <c r="A126" s="22">
        <f>IFERROR(__xludf.DUMMYFUNCTION("if(or(QuotesCheckJudge="""",and(QuotesCheckJudge = ""primeiro"", QuotesCheckChallengeRecommendation1 &lt;&gt; """"),and(QuotesCheckJudge = ""segundo"", QuotesCheckChallengeRecommendation2 &lt;&gt; """")), filter('Quotes-Check'!A126:D126, 'Quotes-Check'!A126:D126&lt;&gt;""g"&amp;"lugluieie""),"""")"),4.0)</f>
        <v>4</v>
      </c>
      <c r="B126" s="22">
        <f>IFERROR(__xludf.DUMMYFUNCTION("""COMPUTED_VALUE"""),5.0)</f>
        <v>5</v>
      </c>
      <c r="C126" s="40" t="str">
        <f>IFERROR(__xludf.DUMMYFUNCTION("""COMPUTED_VALUE"""),"R1 / R3")</f>
        <v>R1 / R3</v>
      </c>
      <c r="D126" s="22" t="str">
        <f>IFERROR(__xludf.DUMMYFUNCTION("""COMPUTED_VALUE"""),"DevOps Concepts")</f>
        <v>DevOps Concepts</v>
      </c>
      <c r="E126" s="46" t="str">
        <f>IFERROR(__xludf.DUMMYFUNCTION("if(or(QuotesCheckJudge="""",and(QuotesCheckJudge = ""primeiro"", QuotesCheckChallengeRecommendation1 &lt;&gt; """")), filter('Quotes-Check'!E126:F126, 'Quotes-Check'!E126:F126&lt;&gt;""glugluieie""),if(and(QuotesCheckJudge = ""segundo"", QuotesCheckChallengeRecommend"&amp;"ation2 &lt;&gt; """"), filter('Quotes-Check'!I126:J126, 'Quotes-Check'!I126:J126&lt;&gt;""glugluieie""),""""))"),"recommendation")</f>
        <v>recommendation</v>
      </c>
      <c r="F126" s="22" t="str">
        <f>IFERROR(__xludf.DUMMYFUNCTION("""COMPUTED_VALUE"""),"Então, acho que é importante você quebrar tanto o tom de voz, a didática que você tá usando, colocar exemplos, vai explicar algo que é teórico, como o Lean, por exemplo, faz um exercício que simula o processo de Lean, não no software, pode até ser com sof"&amp;"tware, pode ser com blocos, use o trello, interaja com o aluno, porque se você ficar mais de vinte minutos falando, enfim, qualquer situação, inclusive numa palestra normal, você perde o aluno, você perde a audiência, na verdade.")</f>
        <v>Então, acho que é importante você quebrar tanto o tom de voz, a didática que você tá usando, colocar exemplos, vai explicar algo que é teórico, como o Lean, por exemplo, faz um exercício que simula o processo de Lean, não no software, pode até ser com software, pode ser com blocos, use o trello, interaja com o aluno, porque se você ficar mais de vinte minutos falando, enfim, qualquer situação, inclusive numa palestra normal, você perde o aluno, você perde a audiência, na verdade.</v>
      </c>
      <c r="G126" s="22" t="str">
        <f>if(QuotesCheckJudgeAbstract&lt;&gt;"",QuotesCheckJudgeAbstract,if(or(QuotesCheckJudge="",and(QuotesCheckJudge = "primeiro", QuotesCheckChallengeRecommendation1 &lt;&gt; "")), QuotesCheckAbstract1,if(and(QuotesCheckJudge = "segundo", QuotesCheckChallengeRecommendation2 &lt;&gt; ""), QuotesCheckAbstract2,"")))</f>
        <v>Use examples with students to teach theory. For instance, we are using blocks or Trello to teach Lean.</v>
      </c>
    </row>
    <row r="127">
      <c r="A127" s="22">
        <f>IFERROR(__xludf.DUMMYFUNCTION("if(or(QuotesCheckJudge="""",and(QuotesCheckJudge = ""primeiro"", QuotesCheckChallengeRecommendation1 &lt;&gt; """"),and(QuotesCheckJudge = ""segundo"", QuotesCheckChallengeRecommendation2 &lt;&gt; """")), filter('Quotes-Check'!A127:D127, 'Quotes-Check'!A127:D127&lt;&gt;""g"&amp;"lugluieie""),"""")"),4.0)</f>
        <v>4</v>
      </c>
      <c r="B127" s="22">
        <f>IFERROR(__xludf.DUMMYFUNCTION("""COMPUTED_VALUE"""),6.0)</f>
        <v>6</v>
      </c>
      <c r="C127" s="40" t="str">
        <f>IFERROR(__xludf.DUMMYFUNCTION("""COMPUTED_VALUE"""),"R1 / R2")</f>
        <v>R1 / R2</v>
      </c>
      <c r="D127" s="22" t="str">
        <f>IFERROR(__xludf.DUMMYFUNCTION("""COMPUTED_VALUE"""),"Class Preparation")</f>
        <v>Class Preparation</v>
      </c>
      <c r="E127" s="46" t="str">
        <f>IFERROR(__xludf.DUMMYFUNCTION("if(or(QuotesCheckJudge="""",and(QuotesCheckJudge = ""primeiro"", QuotesCheckChallengeRecommendation1 &lt;&gt; """")), filter('Quotes-Check'!E127:F127, 'Quotes-Check'!E127:F127&lt;&gt;""glugluieie""),if(and(QuotesCheckJudge = ""segundo"", QuotesCheckChallengeRecommend"&amp;"ation2 &lt;&gt; """"), filter('Quotes-Check'!I127:J127, 'Quotes-Check'!I127:J127&lt;&gt;""glugluieie""),""""))"),"recommendation")</f>
        <v>recommendation</v>
      </c>
      <c r="F127" s="22" t="str">
        <f>IFERROR(__xludf.DUMMYFUNCTION("""COMPUTED_VALUE"""),"Se é uma turma que, especificamente, foi passado pra gente as necessidades e as características antes, como limitações de acesso, limitação de instalação de software na máquina, eu preparo a aula e a gente tem o cronograma como um todo, que é pronto, tem "&amp;"começo, meio e fim. ")</f>
        <v>Se é uma turma que, especificamente, foi passado pra gente as necessidades e as características antes, como limitações de acesso, limitação de instalação de software na máquina, eu preparo a aula e a gente tem o cronograma como um todo, que é pronto, tem começo, meio e fim. </v>
      </c>
      <c r="G127" s="22" t="str">
        <f>if(QuotesCheckJudgeAbstract&lt;&gt;"",QuotesCheckJudgeAbstract,if(or(QuotesCheckJudge="",and(QuotesCheckJudge = "primeiro", QuotesCheckChallengeRecommendation1 &lt;&gt; "")), QuotesCheckAbstract1,if(and(QuotesCheckJudge = "segundo", QuotesCheckChallengeRecommendation2 &lt;&gt; ""), QuotesCheckAbstract2,"")))</f>
        <v>Seek to know in advance the needs and limitations of the class, such as installing software, for example, to create a more efficient schedule.</v>
      </c>
    </row>
    <row r="128">
      <c r="A128" s="22">
        <f>IFERROR(__xludf.DUMMYFUNCTION("if(or(QuotesCheckJudge="""",and(QuotesCheckJudge = ""primeiro"", QuotesCheckChallengeRecommendation1 &lt;&gt; """"),and(QuotesCheckJudge = ""segundo"", QuotesCheckChallengeRecommendation2 &lt;&gt; """")), filter('Quotes-Check'!A128:D128, 'Quotes-Check'!A128:D128&lt;&gt;""g"&amp;"lugluieie""),"""")"),4.0)</f>
        <v>4</v>
      </c>
      <c r="B128" s="22">
        <f>IFERROR(__xludf.DUMMYFUNCTION("""COMPUTED_VALUE"""),6.0)</f>
        <v>6</v>
      </c>
      <c r="C128" s="40" t="str">
        <f>IFERROR(__xludf.DUMMYFUNCTION("""COMPUTED_VALUE"""),"R1 / R2")</f>
        <v>R1 / R2</v>
      </c>
      <c r="D128" s="22" t="str">
        <f>IFERROR(__xludf.DUMMYFUNCTION("""COMPUTED_VALUE"""),"Class Preparation")</f>
        <v>Class Preparation</v>
      </c>
      <c r="E128" s="46" t="str">
        <f>IFERROR(__xludf.DUMMYFUNCTION("if(or(QuotesCheckJudge="""",and(QuotesCheckJudge = ""primeiro"", QuotesCheckChallengeRecommendation1 &lt;&gt; """")), filter('Quotes-Check'!E128:F128, 'Quotes-Check'!E128:F128&lt;&gt;""glugluieie""),if(and(QuotesCheckJudge = ""segundo"", QuotesCheckChallengeRecommend"&amp;"ation2 &lt;&gt; """"), filter('Quotes-Check'!I128:J128, 'Quotes-Check'!I128:J128&lt;&gt;""glugluieie""),""""))"),"recommendation")</f>
        <v>recommendation</v>
      </c>
      <c r="F128" s="22" t="str">
        <f>IFERROR(__xludf.DUMMYFUNCTION("""COMPUTED_VALUE"""),"se for um caso onde eu não tenho acesso a quase nada, eu preciso ir pra uma Cloud pra fazer aula com o aluno, mesmo que não envolva dentro do curso, em si. Eu preciso fazer tudo remoto. ")</f>
        <v>se for um caso onde eu não tenho acesso a quase nada, eu preciso ir pra uma Cloud pra fazer aula com o aluno, mesmo que não envolva dentro do curso, em si. Eu preciso fazer tudo remoto. </v>
      </c>
      <c r="G128" s="22" t="str">
        <f>if(QuotesCheckJudgeAbstract&lt;&gt;"",QuotesCheckJudgeAbstract,if(or(QuotesCheckJudge="",and(QuotesCheckJudge = "primeiro", QuotesCheckChallengeRecommendation1 &lt;&gt; "")), QuotesCheckAbstract1,if(and(QuotesCheckJudge = "segundo", QuotesCheckChallengeRecommendation2 &lt;&gt; ""), QuotesCheckAbstract2,"")))</f>
        <v>For a scenario with limited resources, it is recommended to make use of public cloud services.</v>
      </c>
    </row>
    <row r="129">
      <c r="A129" s="22">
        <f>IFERROR(__xludf.DUMMYFUNCTION("if(or(QuotesCheckJudge="""",and(QuotesCheckJudge = ""primeiro"", QuotesCheckChallengeRecommendation1 &lt;&gt; """"),and(QuotesCheckJudge = ""segundo"", QuotesCheckChallengeRecommendation2 &lt;&gt; """")), filter('Quotes-Check'!A129:D129, 'Quotes-Check'!A129:D129&lt;&gt;""g"&amp;"lugluieie""),"""")"),4.0)</f>
        <v>4</v>
      </c>
      <c r="B129" s="22">
        <f>IFERROR(__xludf.DUMMYFUNCTION("""COMPUTED_VALUE"""),6.0)</f>
        <v>6</v>
      </c>
      <c r="C129" s="40" t="str">
        <f>IFERROR(__xludf.DUMMYFUNCTION("""COMPUTED_VALUE"""),"R1 / R2")</f>
        <v>R1 / R2</v>
      </c>
      <c r="D129" s="22" t="str">
        <f>IFERROR(__xludf.DUMMYFUNCTION("""COMPUTED_VALUE"""),"Class Preparation")</f>
        <v>Class Preparation</v>
      </c>
      <c r="E129" s="46" t="str">
        <f>IFERROR(__xludf.DUMMYFUNCTION("if(or(QuotesCheckJudge="""",and(QuotesCheckJudge = ""primeiro"", QuotesCheckChallengeRecommendation1 &lt;&gt; """")), filter('Quotes-Check'!E129:F129, 'Quotes-Check'!E129:F129&lt;&gt;""glugluieie""),if(and(QuotesCheckJudge = ""segundo"", QuotesCheckChallengeRecommend"&amp;"ation2 &lt;&gt; """"), filter('Quotes-Check'!I129:J129, 'Quotes-Check'!I129:J129&lt;&gt;""glugluieie""),""""))"),"recommendation")</f>
        <v>recommendation</v>
      </c>
      <c r="F129" s="22" t="str">
        <f>IFERROR(__xludf.DUMMYFUNCTION("""COMPUTED_VALUE"""),"se for uma turma mista, a gente previamente envia aos alunos um documento que mostra, né? Quais são os pré-requisitos para que ele faça o curso, software, versões de software, como instalar, bem documentado.")</f>
        <v>se for uma turma mista, a gente previamente envia aos alunos um documento que mostra, né? Quais são os pré-requisitos para que ele faça o curso, software, versões de software, como instalar, bem documentado.</v>
      </c>
      <c r="G129" s="22" t="str">
        <f>if(QuotesCheckJudgeAbstract&lt;&gt;"",QuotesCheckJudgeAbstract,if(or(QuotesCheckJudge="",and(QuotesCheckJudge = "primeiro", QuotesCheckChallengeRecommendation1 &lt;&gt; "")), QuotesCheckAbstract1,if(and(QuotesCheckJudge = "segundo", QuotesCheckChallengeRecommendation2 &lt;&gt; ""), QuotesCheckAbstract2,"")))</f>
        <v>Share course prerequisites with students in advance.</v>
      </c>
    </row>
    <row r="130">
      <c r="A130" s="22">
        <f>IFERROR(__xludf.DUMMYFUNCTION("if(or(QuotesCheckJudge="""",and(QuotesCheckJudge = ""primeiro"", QuotesCheckChallengeRecommendation1 &lt;&gt; """"),and(QuotesCheckJudge = ""segundo"", QuotesCheckChallengeRecommendation2 &lt;&gt; """")), filter('Quotes-Check'!A130:D130, 'Quotes-Check'!A130:D130&lt;&gt;""g"&amp;"lugluieie""),"""")"),4.0)</f>
        <v>4</v>
      </c>
      <c r="B130" s="22">
        <f>IFERROR(__xludf.DUMMYFUNCTION("""COMPUTED_VALUE"""),6.0)</f>
        <v>6</v>
      </c>
      <c r="C130" s="40" t="str">
        <f>IFERROR(__xludf.DUMMYFUNCTION("""COMPUTED_VALUE"""),"R1 / R2")</f>
        <v>R1 / R2</v>
      </c>
      <c r="D130" s="22" t="str">
        <f>IFERROR(__xludf.DUMMYFUNCTION("""COMPUTED_VALUE"""),"Class Preparation")</f>
        <v>Class Preparation</v>
      </c>
      <c r="E130" s="46" t="str">
        <f>IFERROR(__xludf.DUMMYFUNCTION("if(or(QuotesCheckJudge="""",and(QuotesCheckJudge = ""primeiro"", QuotesCheckChallengeRecommendation1 &lt;&gt; """")), filter('Quotes-Check'!E130:F130, 'Quotes-Check'!E130:F130&lt;&gt;""glugluieie""),if(and(QuotesCheckJudge = ""segundo"", QuotesCheckChallengeRecommend"&amp;"ation2 &lt;&gt; """"), filter('Quotes-Check'!I130:J130, 'Quotes-Check'!I130:J130&lt;&gt;""glugluieie""),""""))"),"recommendation")</f>
        <v>recommendation</v>
      </c>
      <c r="F130" s="22" t="str">
        <f>IFERROR(__xludf.DUMMYFUNCTION("""COMPUTED_VALUE"""),"São documentos que a gente manda em etapas separadas do curso [...] gente quebra os documentos de infraestrutura de propósito para poder fazer o processo de Kaisen dentro do Lean para unificar a documentação para que o aluno entenda a dificuldade que ele "&amp;"enfrentou e a dificuldade que ele vai enfrentar no dia a dia.")</f>
        <v>São documentos que a gente manda em etapas separadas do curso [...] gente quebra os documentos de infraestrutura de propósito para poder fazer o processo de Kaisen dentro do Lean para unificar a documentação para que o aluno entenda a dificuldade que ele enfrentou e a dificuldade que ele vai enfrentar no dia a dia.</v>
      </c>
      <c r="G130" s="22" t="str">
        <f>if(QuotesCheckJudgeAbstract&lt;&gt;"",QuotesCheckJudgeAbstract,if(or(QuotesCheckJudge="",and(QuotesCheckJudge = "primeiro", QuotesCheckChallengeRecommendation1 &lt;&gt; "")), QuotesCheckAbstract1,if(and(QuotesCheckJudge = "segundo", QuotesCheckChallengeRecommendation2 &lt;&gt; ""), QuotesCheckAbstract2,"")))</f>
        <v>Create student support examples and guidelines, breaks into parts to go through the steps gradually.</v>
      </c>
    </row>
    <row r="131">
      <c r="A131" s="22">
        <f>IFERROR(__xludf.DUMMYFUNCTION("if(or(QuotesCheckJudge="""",and(QuotesCheckJudge = ""primeiro"", QuotesCheckChallengeRecommendation1 &lt;&gt; """"),and(QuotesCheckJudge = ""segundo"", QuotesCheckChallengeRecommendation2 &lt;&gt; """")), filter('Quotes-Check'!A131:D131, 'Quotes-Check'!A131:D131&lt;&gt;""g"&amp;"lugluieie""),"""")"),4.0)</f>
        <v>4</v>
      </c>
      <c r="B131" s="22">
        <f>IFERROR(__xludf.DUMMYFUNCTION("""COMPUTED_VALUE"""),6.0)</f>
        <v>6</v>
      </c>
      <c r="C131" s="40" t="str">
        <f>IFERROR(__xludf.DUMMYFUNCTION("""COMPUTED_VALUE"""),"R1 / R2")</f>
        <v>R1 / R2</v>
      </c>
      <c r="D131" s="22" t="str">
        <f>IFERROR(__xludf.DUMMYFUNCTION("""COMPUTED_VALUE"""),"Class Preparation")</f>
        <v>Class Preparation</v>
      </c>
      <c r="E131" s="46" t="str">
        <f>IFERROR(__xludf.DUMMYFUNCTION("if(or(QuotesCheckJudge="""",and(QuotesCheckJudge = ""primeiro"", QuotesCheckChallengeRecommendation1 &lt;&gt; """")), filter('Quotes-Check'!E131:F131, 'Quotes-Check'!E131:F131&lt;&gt;""glugluieie""),if(and(QuotesCheckJudge = ""segundo"", QuotesCheckChallengeRecommend"&amp;"ation2 &lt;&gt; """"), filter('Quotes-Check'!I131:J131, 'Quotes-Check'!I131:J131&lt;&gt;""glugluieie""),""""))"),"recommendation")</f>
        <v>recommendation</v>
      </c>
      <c r="F131" s="22" t="str">
        <f>IFERROR(__xludf.DUMMYFUNCTION("""COMPUTED_VALUE"""),"Então a gente quebra os documentos de infraestrutura de propósito para poder fazer o processo de Kaisen dentro do Lean para unificar a documentação para que o aluno entenda a dificuldade que ele enfrentou e a dificuldade que ele vai enfrentar no dia a dia"&amp;".")</f>
        <v>Então a gente quebra os documentos de infraestrutura de propósito para poder fazer o processo de Kaisen dentro do Lean para unificar a documentação para que o aluno entenda a dificuldade que ele enfrentou e a dificuldade que ele vai enfrentar no dia a dia.</v>
      </c>
      <c r="G131" s="22" t="str">
        <f>if(QuotesCheckJudgeAbstract&lt;&gt;"",QuotesCheckJudgeAbstract,if(or(QuotesCheckJudge="",and(QuotesCheckJudge = "primeiro", QuotesCheckChallengeRecommendation1 &lt;&gt; "")), QuotesCheckAbstract1,if(and(QuotesCheckJudge = "segundo", QuotesCheckChallengeRecommendation2 &lt;&gt; ""), QuotesCheckAbstract2,"")))</f>
        <v>Simulate real problems that the student will likely face in their daily lives.</v>
      </c>
    </row>
    <row r="132">
      <c r="A132" s="22">
        <f>IFERROR(__xludf.DUMMYFUNCTION("if(or(QuotesCheckJudge="""",and(QuotesCheckJudge = ""primeiro"", QuotesCheckChallengeRecommendation1 &lt;&gt; """"),and(QuotesCheckJudge = ""segundo"", QuotesCheckChallengeRecommendation2 &lt;&gt; """")), filter('Quotes-Check'!A132:D132, 'Quotes-Check'!A132:D132&lt;&gt;""g"&amp;"lugluieie""),"""")"),4.0)</f>
        <v>4</v>
      </c>
      <c r="B132" s="22">
        <f>IFERROR(__xludf.DUMMYFUNCTION("""COMPUTED_VALUE"""),6.0)</f>
        <v>6</v>
      </c>
      <c r="C132" s="40" t="str">
        <f>IFERROR(__xludf.DUMMYFUNCTION("""COMPUTED_VALUE"""),"R1 / R2")</f>
        <v>R1 / R2</v>
      </c>
      <c r="D132" s="22" t="str">
        <f>IFERROR(__xludf.DUMMYFUNCTION("""COMPUTED_VALUE"""),"Class Preparation")</f>
        <v>Class Preparation</v>
      </c>
      <c r="E132" s="46" t="str">
        <f>IFERROR(__xludf.DUMMYFUNCTION("if(or(QuotesCheckJudge="""",and(QuotesCheckJudge = ""primeiro"", QuotesCheckChallengeRecommendation1 &lt;&gt; """")), filter('Quotes-Check'!E132:F132, 'Quotes-Check'!E132:F132&lt;&gt;""glugluieie""),if(and(QuotesCheckJudge = ""segundo"", QuotesCheckChallengeRecommend"&amp;"ation2 &lt;&gt; """"), filter('Quotes-Check'!I132:J132, 'Quotes-Check'!I132:J132&lt;&gt;""glugluieie""),""""))"),"recommendation")</f>
        <v>recommendation</v>
      </c>
      <c r="F132" s="22" t="str">
        <f>IFERROR(__xludf.DUMMYFUNCTION("""COMPUTED_VALUE"""),"Eu prefiro tirar durante a aula para mostrar os os bloqueios do dia a dia que é a entrega no fim das contas. Mas a recomendação é usar os bloqueios de infraestrutura para você alimentar o seu curso, como didática. Você fala, olha, lembra o bloqueio que a "&amp;"gente teve? A dependência, o software é feito em Java 8 e a gente tentou compilar uma máquina que tinha Java 15. Está vendo esse problema? Como a gente resolve? A gente analisa, roda alguns frameworks de análise de processo, porque ferramenta a gente pode"&amp;" falar de qualquer linguagem, mas usar isso como experiência. ")</f>
        <v>Eu prefiro tirar durante a aula para mostrar os os bloqueios do dia a dia que é a entrega no fim das contas. Mas a recomendação é usar os bloqueios de infraestrutura para você alimentar o seu curso, como didática. Você fala, olha, lembra o bloqueio que a gente teve? A dependência, o software é feito em Java 8 e a gente tentou compilar uma máquina que tinha Java 15. Está vendo esse problema? Como a gente resolve? A gente analisa, roda alguns frameworks de análise de processo, porque ferramenta a gente pode falar de qualquer linguagem, mas usar isso como experiência. </v>
      </c>
      <c r="G132" s="22" t="str">
        <f>if(QuotesCheckJudgeAbstract&lt;&gt;"",QuotesCheckJudgeAbstract,if(or(QuotesCheckJudge="",and(QuotesCheckJudge = "primeiro", QuotesCheckChallengeRecommendation1 &lt;&gt; "")), QuotesCheckAbstract1,if(and(QuotesCheckJudge = "segundo", QuotesCheckChallengeRecommendation2 &lt;&gt; ""), QuotesCheckAbstract2,"")))</f>
        <v>Use the difficulties with infrastructure in favor of learning, conducting discussions among students.</v>
      </c>
    </row>
    <row r="133">
      <c r="A133" s="22">
        <f>IFERROR(__xludf.DUMMYFUNCTION("if(or(QuotesCheckJudge="""",and(QuotesCheckJudge = ""primeiro"", QuotesCheckChallengeRecommendation1 &lt;&gt; """"),and(QuotesCheckJudge = ""segundo"", QuotesCheckChallengeRecommendation2 &lt;&gt; """")), filter('Quotes-Check'!A133:D133, 'Quotes-Check'!A133:D133&lt;&gt;""g"&amp;"lugluieie""),"""")"),4.0)</f>
        <v>4</v>
      </c>
      <c r="B133" s="22">
        <f>IFERROR(__xludf.DUMMYFUNCTION("""COMPUTED_VALUE"""),6.0)</f>
        <v>6</v>
      </c>
      <c r="C133" s="40" t="str">
        <f>IFERROR(__xludf.DUMMYFUNCTION("""COMPUTED_VALUE"""),"R1 / R2")</f>
        <v>R1 / R2</v>
      </c>
      <c r="D133" s="22" t="str">
        <f>IFERROR(__xludf.DUMMYFUNCTION("""COMPUTED_VALUE"""),"Class Preparation")</f>
        <v>Class Preparation</v>
      </c>
      <c r="E133" s="46" t="str">
        <f>IFERROR(__xludf.DUMMYFUNCTION("if(or(QuotesCheckJudge="""",and(QuotesCheckJudge = ""primeiro"", QuotesCheckChallengeRecommendation1 &lt;&gt; """")), filter('Quotes-Check'!E133:F133, 'Quotes-Check'!E133:F133&lt;&gt;""glugluieie""),if(and(QuotesCheckJudge = ""segundo"", QuotesCheckChallengeRecommend"&amp;"ation2 &lt;&gt; """"), filter('Quotes-Check'!I133:J133, 'Quotes-Check'!I133:J133&lt;&gt;""glugluieie""),""""))"),"recommendation")</f>
        <v>recommendation</v>
      </c>
      <c r="F133" s="22" t="str">
        <f>IFERROR(__xludf.DUMMYFUNCTION("""COMPUTED_VALUE"""),"do ponto de vista didático, a gente deixa uma ou duas horas antes de cada, cada dia, tem uma equipe de infra específica pra tirar alguma dúvida do aluno.")</f>
        <v>do ponto de vista didático, a gente deixa uma ou duas horas antes de cada, cada dia, tem uma equipe de infra específica pra tirar alguma dúvida do aluno.</v>
      </c>
      <c r="G133" s="22" t="str">
        <f>if(QuotesCheckJudgeAbstract&lt;&gt;"",QuotesCheckJudgeAbstract,if(or(QuotesCheckJudge="",and(QuotesCheckJudge = "primeiro", QuotesCheckChallengeRecommendation1 &lt;&gt; "")), QuotesCheckAbstract1,if(and(QuotesCheckJudge = "segundo", QuotesCheckChallengeRecommendation2 &lt;&gt; ""), QuotesCheckAbstract2,"")))</f>
        <v>There is a specific support team to answer students' questions about the related infrastructure part.</v>
      </c>
    </row>
    <row r="134">
      <c r="A134" s="22">
        <f>IFERROR(__xludf.DUMMYFUNCTION("if(or(QuotesCheckJudge="""",and(QuotesCheckJudge = ""primeiro"", QuotesCheckChallengeRecommendation1 &lt;&gt; """"),and(QuotesCheckJudge = ""segundo"", QuotesCheckChallengeRecommendation2 &lt;&gt; """")), filter('Quotes-Check'!A134:D134, 'Quotes-Check'!A134:D134&lt;&gt;""g"&amp;"lugluieie""),"""")"),4.0)</f>
        <v>4</v>
      </c>
      <c r="B134" s="22">
        <f>IFERROR(__xludf.DUMMYFUNCTION("""COMPUTED_VALUE"""),6.0)</f>
        <v>6</v>
      </c>
      <c r="C134" s="40" t="str">
        <f>IFERROR(__xludf.DUMMYFUNCTION("""COMPUTED_VALUE"""),"R1 / R2")</f>
        <v>R1 / R2</v>
      </c>
      <c r="D134" s="22" t="str">
        <f>IFERROR(__xludf.DUMMYFUNCTION("""COMPUTED_VALUE"""),"Class Preparation")</f>
        <v>Class Preparation</v>
      </c>
      <c r="E134" s="46" t="str">
        <f>IFERROR(__xludf.DUMMYFUNCTION("if(or(QuotesCheckJudge="""",and(QuotesCheckJudge = ""primeiro"", QuotesCheckChallengeRecommendation1 &lt;&gt; """")), filter('Quotes-Check'!E134:F134, 'Quotes-Check'!E134:F134&lt;&gt;""glugluieie""),if(and(QuotesCheckJudge = ""segundo"", QuotesCheckChallengeRecommend"&amp;"ation2 &lt;&gt; """"), filter('Quotes-Check'!I134:J134, 'Quotes-Check'!I134:J134&lt;&gt;""glugluieie""),""""))"),"recommendation")</f>
        <v>recommendation</v>
      </c>
      <c r="F134" s="22" t="str">
        <f>IFERROR(__xludf.DUMMYFUNCTION("""COMPUTED_VALUE"""),"perceber o quanto você está se desviando, porque o aluno tá com um problema que é muito específico dele e perde um pouco a didática. Então, saber limitar também, trabalhar, depois, com o aluno, falar, olha, a gente vai conversar com mais calma, por conta "&amp;"dessa situação sua ser muito específica. Tem que ter um ponto de quebra, porque senão você perde os outros alunos")</f>
        <v>perceber o quanto você está se desviando, porque o aluno tá com um problema que é muito específico dele e perde um pouco a didática. Então, saber limitar também, trabalhar, depois, com o aluno, falar, olha, a gente vai conversar com mais calma, por conta dessa situação sua ser muito específica. Tem que ter um ponto de quebra, porque senão você perde os outros alunos</v>
      </c>
      <c r="G134" s="22" t="str">
        <f>if(QuotesCheckJudgeAbstract&lt;&gt;"",QuotesCheckJudgeAbstract,if(or(QuotesCheckJudge="",and(QuotesCheckJudge = "primeiro", QuotesCheckChallengeRecommendation1 &lt;&gt; "")), QuotesCheckAbstract1,if(and(QuotesCheckJudge = "segundo", QuotesCheckChallengeRecommendation2 &lt;&gt; ""), QuotesCheckAbstract2,"")))</f>
        <v>Avoid messing around with specific problems faced by students, dealing in a personalized way at the right time.</v>
      </c>
    </row>
    <row r="135">
      <c r="A135" s="22">
        <f>IFERROR(__xludf.DUMMYFUNCTION("if(or(QuotesCheckJudge="""",and(QuotesCheckJudge = ""primeiro"", QuotesCheckChallengeRecommendation1 &lt;&gt; """"),and(QuotesCheckJudge = ""segundo"", QuotesCheckChallengeRecommendation2 &lt;&gt; """")), filter('Quotes-Check'!A135:D135, 'Quotes-Check'!A135:D135&lt;&gt;""g"&amp;"lugluieie""),"""")"),4.0)</f>
        <v>4</v>
      </c>
      <c r="B135" s="22">
        <f>IFERROR(__xludf.DUMMYFUNCTION("""COMPUTED_VALUE"""),7.0)</f>
        <v>7</v>
      </c>
      <c r="C135" s="40" t="str">
        <f>IFERROR(__xludf.DUMMYFUNCTION("""COMPUTED_VALUE"""),"R2 / R3")</f>
        <v>R2 / R3</v>
      </c>
      <c r="D135" s="22" t="str">
        <f>IFERROR(__xludf.DUMMYFUNCTION("""COMPUTED_VALUE"""),"Tool / Technology")</f>
        <v>Tool / Technology</v>
      </c>
      <c r="E135" s="46" t="str">
        <f>IFERROR(__xludf.DUMMYFUNCTION("if(or(QuotesCheckJudge="""",and(QuotesCheckJudge = ""primeiro"", QuotesCheckChallengeRecommendation1 &lt;&gt; """")), filter('Quotes-Check'!E135:F135, 'Quotes-Check'!E135:F135&lt;&gt;""glugluieie""),if(and(QuotesCheckJudge = ""segundo"", QuotesCheckChallengeRecommend"&amp;"ation2 &lt;&gt; """"), filter('Quotes-Check'!I135:J135, 'Quotes-Check'!I135:J135&lt;&gt;""glugluieie""),""""))"),"recommendation")</f>
        <v>recommendation</v>
      </c>
      <c r="F135" s="22" t="str">
        <f>IFERROR(__xludf.DUMMYFUNCTION("""COMPUTED_VALUE"""),"Uma ferramenta de tracking de tarefas, de task. Aí, pode ser o Notion ou o Trello, acho que é básico. ")</f>
        <v>Uma ferramenta de tracking de tarefas, de task. Aí, pode ser o Notion ou o Trello, acho que é básico. </v>
      </c>
      <c r="G135" s="22" t="str">
        <f>if(QuotesCheckJudgeAbstract&lt;&gt;"",QuotesCheckJudgeAbstract,if(or(QuotesCheckJudge="",and(QuotesCheckJudge = "primeiro", QuotesCheckChallengeRecommendation1 &lt;&gt; "")), QuotesCheckAbstract1,if(and(QuotesCheckJudge = "segundo", QuotesCheckChallengeRecommendation2 &lt;&gt; ""), QuotesCheckAbstract2,"")))</f>
        <v>Use a task tracking tool like Trello or Notion.</v>
      </c>
    </row>
    <row r="136">
      <c r="A136" s="22">
        <f>IFERROR(__xludf.DUMMYFUNCTION("if(or(QuotesCheckJudge="""",and(QuotesCheckJudge = ""primeiro"", QuotesCheckChallengeRecommendation1 &lt;&gt; """"),and(QuotesCheckJudge = ""segundo"", QuotesCheckChallengeRecommendation2 &lt;&gt; """")), filter('Quotes-Check'!A136:D136, 'Quotes-Check'!A136:D136&lt;&gt;""g"&amp;"lugluieie""),"""")"),4.0)</f>
        <v>4</v>
      </c>
      <c r="B136" s="22">
        <f>IFERROR(__xludf.DUMMYFUNCTION("""COMPUTED_VALUE"""),7.0)</f>
        <v>7</v>
      </c>
      <c r="C136" s="40" t="str">
        <f>IFERROR(__xludf.DUMMYFUNCTION("""COMPUTED_VALUE"""),"R2 / R3")</f>
        <v>R2 / R3</v>
      </c>
      <c r="D136" s="22" t="str">
        <f>IFERROR(__xludf.DUMMYFUNCTION("""COMPUTED_VALUE"""),"Tool / Technology")</f>
        <v>Tool / Technology</v>
      </c>
      <c r="E136" s="46" t="str">
        <f>IFERROR(__xludf.DUMMYFUNCTION("if(or(QuotesCheckJudge="""",and(QuotesCheckJudge = ""primeiro"", QuotesCheckChallengeRecommendation1 &lt;&gt; """")), filter('Quotes-Check'!E136:F136, 'Quotes-Check'!E136:F136&lt;&gt;""glugluieie""),if(and(QuotesCheckJudge = ""segundo"", QuotesCheckChallengeRecommend"&amp;"ation2 &lt;&gt; """"), filter('Quotes-Check'!I136:J136, 'Quotes-Check'!I136:J136&lt;&gt;""glugluieie""),""""))"),"recommendation")</f>
        <v>recommendation</v>
      </c>
      <c r="F136" s="22" t="str">
        <f>IFERROR(__xludf.DUMMYFUNCTION("""COMPUTED_VALUE"""),"Eu acho que tem que ter duas ferramentas sempre, a de stream que seriam o zoom, Google Meet, qualquer ferramenta que faça isso, o Webex não sei, depende da empresa ")</f>
        <v>Eu acho que tem que ter duas ferramentas sempre, a de stream que seriam o zoom, Google Meet, qualquer ferramenta que faça isso, o Webex não sei, depende da empresa </v>
      </c>
      <c r="G136" s="22" t="str">
        <f>if(QuotesCheckJudgeAbstract&lt;&gt;"",QuotesCheckJudgeAbstract,if(or(QuotesCheckJudge="",and(QuotesCheckJudge = "primeiro", QuotesCheckChallengeRecommendation1 &lt;&gt; "")), QuotesCheckAbstract1,if(and(QuotesCheckJudge = "segundo", QuotesCheckChallengeRecommendation2 &lt;&gt; ""), QuotesCheckAbstract2,"")))</f>
        <v>Use a streaming tool like Zoom, Google Meet, or Webex in remote learning scenario.</v>
      </c>
    </row>
    <row r="137">
      <c r="A137" s="22">
        <f>IFERROR(__xludf.DUMMYFUNCTION("if(or(QuotesCheckJudge="""",and(QuotesCheckJudge = ""primeiro"", QuotesCheckChallengeRecommendation1 &lt;&gt; """"),and(QuotesCheckJudge = ""segundo"", QuotesCheckChallengeRecommendation2 &lt;&gt; """")), filter('Quotes-Check'!A137:D137, 'Quotes-Check'!A137:D137&lt;&gt;""g"&amp;"lugluieie""),"""")"),4.0)</f>
        <v>4</v>
      </c>
      <c r="B137" s="22">
        <f>IFERROR(__xludf.DUMMYFUNCTION("""COMPUTED_VALUE"""),7.0)</f>
        <v>7</v>
      </c>
      <c r="C137" s="40" t="str">
        <f>IFERROR(__xludf.DUMMYFUNCTION("""COMPUTED_VALUE"""),"R2 / R3")</f>
        <v>R2 / R3</v>
      </c>
      <c r="D137" s="22" t="str">
        <f>IFERROR(__xludf.DUMMYFUNCTION("""COMPUTED_VALUE"""),"Tool / Technology")</f>
        <v>Tool / Technology</v>
      </c>
      <c r="E137" s="46" t="str">
        <f>IFERROR(__xludf.DUMMYFUNCTION("if(or(QuotesCheckJudge="""",and(QuotesCheckJudge = ""primeiro"", QuotesCheckChallengeRecommendation1 &lt;&gt; """")), filter('Quotes-Check'!E137:F137, 'Quotes-Check'!E137:F137&lt;&gt;""glugluieie""),if(and(QuotesCheckJudge = ""segundo"", QuotesCheckChallengeRecommend"&amp;"ation2 &lt;&gt; """"), filter('Quotes-Check'!I137:J137, 'Quotes-Check'!I137:J137&lt;&gt;""glugluieie""),""""))"),"recommendation")</f>
        <v>recommendation</v>
      </c>
      <c r="F137" s="22" t="str">
        <f>IFERROR(__xludf.DUMMYFUNCTION("""COMPUTED_VALUE"""),"eu tô preferindo o Notion apesar de trabalhar para empresa do Trello eu prefiro o Notion por um motivo. Eu consigo exportar ele em Markdown e versionar direto toda documentação. Então, pra cada dia do curso, todos os comandos que a gente vai rodando ou os"&amp;" conteúdos adicionais, eu vou listando, vou interagindo com eles, eles interagem junto. ")</f>
        <v>eu tô preferindo o Notion apesar de trabalhar para empresa do Trello eu prefiro o Notion por um motivo. Eu consigo exportar ele em Markdown e versionar direto toda documentação. Então, pra cada dia do curso, todos os comandos que a gente vai rodando ou os conteúdos adicionais, eu vou listando, vou interagindo com eles, eles interagem junto. </v>
      </c>
      <c r="G137" s="22" t="str">
        <f>if(QuotesCheckJudgeAbstract&lt;&gt;"",QuotesCheckJudgeAbstract,if(or(QuotesCheckJudge="",and(QuotesCheckJudge = "primeiro", QuotesCheckChallengeRecommendation1 &lt;&gt; "")), QuotesCheckAbstract1,if(and(QuotesCheckJudge = "segundo", QuotesCheckChallengeRecommendation2 &lt;&gt; ""), QuotesCheckAbstract2,"")))</f>
        <v>The Notion tool allows exporting to Markdown, enabling the versioning of documentation for each day of the course: all executed commands and additional content.</v>
      </c>
    </row>
    <row r="138">
      <c r="A138" s="22">
        <f>IFERROR(__xludf.DUMMYFUNCTION("if(or(QuotesCheckJudge="""",and(QuotesCheckJudge = ""primeiro"", QuotesCheckChallengeRecommendation1 &lt;&gt; """"),and(QuotesCheckJudge = ""segundo"", QuotesCheckChallengeRecommendation2 &lt;&gt; """")), filter('Quotes-Check'!A138:D138, 'Quotes-Check'!A138:D138&lt;&gt;""g"&amp;"lugluieie""),"""")"),4.0)</f>
        <v>4</v>
      </c>
      <c r="B138" s="22">
        <f>IFERROR(__xludf.DUMMYFUNCTION("""COMPUTED_VALUE"""),7.0)</f>
        <v>7</v>
      </c>
      <c r="C138" s="40" t="str">
        <f>IFERROR(__xludf.DUMMYFUNCTION("""COMPUTED_VALUE"""),"R2 / R3")</f>
        <v>R2 / R3</v>
      </c>
      <c r="D138" s="22" t="str">
        <f>IFERROR(__xludf.DUMMYFUNCTION("""COMPUTED_VALUE"""),"Tool / Technology")</f>
        <v>Tool / Technology</v>
      </c>
      <c r="E138" s="46" t="str">
        <f>IFERROR(__xludf.DUMMYFUNCTION("if(or(QuotesCheckJudge="""",and(QuotesCheckJudge = ""primeiro"", QuotesCheckChallengeRecommendation1 &lt;&gt; """")), filter('Quotes-Check'!E138:F138, 'Quotes-Check'!E138:F138&lt;&gt;""glugluieie""),if(and(QuotesCheckJudge = ""segundo"", QuotesCheckChallengeRecommend"&amp;"ation2 &lt;&gt; """"), filter('Quotes-Check'!I138:J138, 'Quotes-Check'!I138:J138&lt;&gt;""glugluieie""),""""))"),"recommendation")</f>
        <v>recommendation</v>
      </c>
      <c r="F138" s="22" t="str">
        <f>IFERROR(__xludf.DUMMYFUNCTION("""COMPUTED_VALUE"""),"E um repositório de código, pode GitLab, Github, que aí você consegue compartilhar com os alunos, essa, essa situação")</f>
        <v>E um repositório de código, pode GitLab, Github, que aí você consegue compartilhar com os alunos, essa, essa situação</v>
      </c>
      <c r="G138" s="22" t="str">
        <f>if(QuotesCheckJudgeAbstract&lt;&gt;"",QuotesCheckJudgeAbstract,if(or(QuotesCheckJudge="",and(QuotesCheckJudge = "primeiro", QuotesCheckChallengeRecommendation1 &lt;&gt; "")), QuotesCheckAbstract1,if(and(QuotesCheckJudge = "segundo", QuotesCheckChallengeRecommendation2 &lt;&gt; ""), QuotesCheckAbstract2,"")))</f>
        <v>Use a code repository tool like Gitlab or Github.</v>
      </c>
    </row>
    <row r="139">
      <c r="A139" s="22">
        <f>IFERROR(__xludf.DUMMYFUNCTION("if(or(QuotesCheckJudge="""",and(QuotesCheckJudge = ""primeiro"", QuotesCheckChallengeRecommendation1 &lt;&gt; """"),and(QuotesCheckJudge = ""segundo"", QuotesCheckChallengeRecommendation2 &lt;&gt; """")), filter('Quotes-Check'!A139:D139, 'Quotes-Check'!A139:D139&lt;&gt;""g"&amp;"lugluieie""),"""")"),4.0)</f>
        <v>4</v>
      </c>
      <c r="B139" s="22">
        <f>IFERROR(__xludf.DUMMYFUNCTION("""COMPUTED_VALUE"""),7.0)</f>
        <v>7</v>
      </c>
      <c r="C139" s="40" t="str">
        <f>IFERROR(__xludf.DUMMYFUNCTION("""COMPUTED_VALUE"""),"R2 / R3")</f>
        <v>R2 / R3</v>
      </c>
      <c r="D139" s="22" t="str">
        <f>IFERROR(__xludf.DUMMYFUNCTION("""COMPUTED_VALUE"""),"Tool / Technology")</f>
        <v>Tool / Technology</v>
      </c>
      <c r="E139" s="46" t="str">
        <f>IFERROR(__xludf.DUMMYFUNCTION("if(or(QuotesCheckJudge="""",and(QuotesCheckJudge = ""primeiro"", QuotesCheckChallengeRecommendation1 &lt;&gt; """")), filter('Quotes-Check'!E139:F139, 'Quotes-Check'!E139:F139&lt;&gt;""glugluieie""),if(and(QuotesCheckJudge = ""segundo"", QuotesCheckChallengeRecommend"&amp;"ation2 &lt;&gt; """"), filter('Quotes-Check'!I139:J139, 'Quotes-Check'!I139:J139&lt;&gt;""glugluieie""),""""))"),"recommendation")</f>
        <v>recommendation</v>
      </c>
      <c r="F139" s="22" t="str">
        <f>IFERROR(__xludf.DUMMYFUNCTION("""COMPUTED_VALUE"""),"Nós costumamos usar o Jenkins como ferramenta de integração, porque ele é open source, está em tudo quanto é lugar, apesar de ter outras ferramentas que fazem até melhor o trabalho, mas ele está espalhado, ele é muito antigo,")</f>
        <v>Nós costumamos usar o Jenkins como ferramenta de integração, porque ele é open source, está em tudo quanto é lugar, apesar de ter outras ferramentas que fazem até melhor o trabalho, mas ele está espalhado, ele é muito antigo,</v>
      </c>
      <c r="G139" s="22" t="str">
        <f>if(QuotesCheckJudgeAbstract&lt;&gt;"",QuotesCheckJudgeAbstract,if(or(QuotesCheckJudge="",and(QuotesCheckJudge = "primeiro", QuotesCheckChallengeRecommendation1 &lt;&gt; "")), QuotesCheckAbstract1,if(and(QuotesCheckJudge = "segundo", QuotesCheckChallengeRecommendation2 &lt;&gt; ""), QuotesCheckAbstract2,"")))</f>
        <v>Use a Continuous Integration tool. in particular, Jenkins is open source and very widespread. </v>
      </c>
    </row>
    <row r="140">
      <c r="A140" s="22">
        <f>IFERROR(__xludf.DUMMYFUNCTION("if(or(QuotesCheckJudge="""",and(QuotesCheckJudge = ""primeiro"", QuotesCheckChallengeRecommendation1 &lt;&gt; """"),and(QuotesCheckJudge = ""segundo"", QuotesCheckChallengeRecommendation2 &lt;&gt; """")), filter('Quotes-Check'!A140:D140, 'Quotes-Check'!A140:D140&lt;&gt;""g"&amp;"lugluieie""),"""")"),4.0)</f>
        <v>4</v>
      </c>
      <c r="B140" s="22">
        <f>IFERROR(__xludf.DUMMYFUNCTION("""COMPUTED_VALUE"""),8.0)</f>
        <v>8</v>
      </c>
      <c r="C140" s="40" t="str">
        <f>IFERROR(__xludf.DUMMYFUNCTION("""COMPUTED_VALUE"""),"R1 / R3")</f>
        <v>R1 / R3</v>
      </c>
      <c r="D140" s="22" t="str">
        <f>IFERROR(__xludf.DUMMYFUNCTION("""COMPUTED_VALUE"""),"Tool / Technology")</f>
        <v>Tool / Technology</v>
      </c>
      <c r="E140" s="46" t="str">
        <f>IFERROR(__xludf.DUMMYFUNCTION("if(or(QuotesCheckJudge="""",and(QuotesCheckJudge = ""primeiro"", QuotesCheckChallengeRecommendation1 &lt;&gt; """")), filter('Quotes-Check'!E140:F140, 'Quotes-Check'!E140:F140&lt;&gt;""glugluieie""),if(and(QuotesCheckJudge = ""segundo"", QuotesCheckChallengeRecommend"&amp;"ation2 &lt;&gt; """"), filter('Quotes-Check'!I140:J140, 'Quotes-Check'!I140:J140&lt;&gt;""glugluieie""),""""))"),"recommendation")</f>
        <v>recommendation</v>
      </c>
      <c r="F140" s="22" t="str">
        <f>IFERROR(__xludf.DUMMYFUNCTION("""COMPUTED_VALUE"""),"o Notion ou o Trello [...], você precisa ter uma ferramenta de duas vias, onde você e o aluno interajam. Não um Gist, por exemplo, porque o Gist, apesar de você conseguir liberar somente, porque o aluno precisa pôr o feedback dele lá também.  [...] Tem al"&amp;"gumas tarefas que a gente monta lá, um post mortem do processo que falha, eu preciso de uma ferramenta de feedback que o aluno também interaja. ")</f>
        <v>o Notion ou o Trello [...], você precisa ter uma ferramenta de duas vias, onde você e o aluno interajam. Não um Gist, por exemplo, porque o Gist, apesar de você conseguir liberar somente, porque o aluno precisa pôr o feedback dele lá também.  [...] Tem algumas tarefas que a gente monta lá, um post mortem do processo que falha, eu preciso de uma ferramenta de feedback que o aluno também interaja. </v>
      </c>
      <c r="G140" s="22" t="str">
        <f>if(QuotesCheckJudgeAbstract&lt;&gt;"",QuotesCheckJudgeAbstract,if(or(QuotesCheckJudge="",and(QuotesCheckJudge = "primeiro", QuotesCheckChallengeRecommendation1 &lt;&gt; "")), QuotesCheckAbstract1,if(and(QuotesCheckJudge = "segundo", QuotesCheckChallengeRecommendation2 &lt;&gt; ""), QuotesCheckAbstract2,"")))</f>
        <v>Notion and Trello allow student and teacher interaction in two ways. Gist does not allow it.</v>
      </c>
    </row>
    <row r="141">
      <c r="A141" s="22">
        <f>IFERROR(__xludf.DUMMYFUNCTION("if(or(QuotesCheckJudge="""",and(QuotesCheckJudge = ""primeiro"", QuotesCheckChallengeRecommendation1 &lt;&gt; """"),and(QuotesCheckJudge = ""segundo"", QuotesCheckChallengeRecommendation2 &lt;&gt; """")), filter('Quotes-Check'!A141:D141, 'Quotes-Check'!A141:D141&lt;&gt;""g"&amp;"lugluieie""),"""")"),4.0)</f>
        <v>4</v>
      </c>
      <c r="B141" s="22">
        <f>IFERROR(__xludf.DUMMYFUNCTION("""COMPUTED_VALUE"""),8.0)</f>
        <v>8</v>
      </c>
      <c r="C141" s="40" t="str">
        <f>IFERROR(__xludf.DUMMYFUNCTION("""COMPUTED_VALUE"""),"R1 / R3")</f>
        <v>R1 / R3</v>
      </c>
      <c r="D141" s="22" t="str">
        <f>IFERROR(__xludf.DUMMYFUNCTION("""COMPUTED_VALUE"""),"Tool / Technology")</f>
        <v>Tool / Technology</v>
      </c>
      <c r="E141" s="46" t="str">
        <f>IFERROR(__xludf.DUMMYFUNCTION("if(or(QuotesCheckJudge="""",and(QuotesCheckJudge = ""primeiro"", QuotesCheckChallengeRecommendation1 &lt;&gt; """")), filter('Quotes-Check'!E141:F141, 'Quotes-Check'!E141:F141&lt;&gt;""glugluieie""),if(and(QuotesCheckJudge = ""segundo"", QuotesCheckChallengeRecommend"&amp;"ation2 &lt;&gt; """"), filter('Quotes-Check'!I141:J141, 'Quotes-Check'!I141:J141&lt;&gt;""glugluieie""),""""))"),"recommendation")</f>
        <v>recommendation</v>
      </c>
      <c r="F141" s="22" t="str">
        <f>IFERROR(__xludf.DUMMYFUNCTION("""COMPUTED_VALUE"""),"Então, eu costumo recomendar pros instrutores, eu faço e recomendo pros alunos quando eles vão compartilhar comigo. Diminuir a taxa de FPF, de compartilhamento de tela, porque isso é um bloqueio. O zoom usa o que ele pode, se você não limitar. Então, a ge"&amp;"nte limita dez FPS, por exemplo, para que eu não consuma demais a CPU minha, nem do aluno, porque eu tenho que corrigir, às vezes, o exercício do lado dele")</f>
        <v>Então, eu costumo recomendar pros instrutores, eu faço e recomendo pros alunos quando eles vão compartilhar comigo. Diminuir a taxa de FPF, de compartilhamento de tela, porque isso é um bloqueio. O zoom usa o que ele pode, se você não limitar. Então, a gente limita dez FPS, por exemplo, para que eu não consuma demais a CPU minha, nem do aluno, porque eu tenho que corrigir, às vezes, o exercício do lado dele</v>
      </c>
      <c r="G141" s="22" t="str">
        <f>if(QuotesCheckJudgeAbstract&lt;&gt;"",QuotesCheckJudgeAbstract,if(or(QuotesCheckJudge="",and(QuotesCheckJudge = "primeiro", QuotesCheckChallengeRecommendation1 &lt;&gt; "")), QuotesCheckAbstract1,if(and(QuotesCheckJudge = "segundo", QuotesCheckChallengeRecommendation2 &lt;&gt; ""), QuotesCheckAbstract2,"")))</f>
        <v>Limit the zoom FPS rate to 10, avoiding excessive student and instructor resource consumption.</v>
      </c>
    </row>
    <row r="142">
      <c r="A142" s="22">
        <f>IFERROR(__xludf.DUMMYFUNCTION("if(or(QuotesCheckJudge="""",and(QuotesCheckJudge = ""primeiro"", QuotesCheckChallengeRecommendation1 &lt;&gt; """"),and(QuotesCheckJudge = ""segundo"", QuotesCheckChallengeRecommendation2 &lt;&gt; """")), filter('Quotes-Check'!A142:D142, 'Quotes-Check'!A142:D142&lt;&gt;""g"&amp;"lugluieie""),"""")"),4.0)</f>
        <v>4</v>
      </c>
      <c r="B142" s="22">
        <f>IFERROR(__xludf.DUMMYFUNCTION("""COMPUTED_VALUE"""),9.0)</f>
        <v>9</v>
      </c>
      <c r="C142" s="40" t="str">
        <f>IFERROR(__xludf.DUMMYFUNCTION("""COMPUTED_VALUE"""),"R1 / R3")</f>
        <v>R1 / R3</v>
      </c>
      <c r="D142" s="22" t="str">
        <f>IFERROR(__xludf.DUMMYFUNCTION("""COMPUTED_VALUE"""),"Assessment")</f>
        <v>Assessment</v>
      </c>
      <c r="E142" s="46" t="str">
        <f>IFERROR(__xludf.DUMMYFUNCTION("if(or(QuotesCheckJudge="""",and(QuotesCheckJudge = ""primeiro"", QuotesCheckChallengeRecommendation1 &lt;&gt; """")), filter('Quotes-Check'!E142:F142, 'Quotes-Check'!E142:F142&lt;&gt;""glugluieie""),if(and(QuotesCheckJudge = ""segundo"", QuotesCheckChallengeRecommend"&amp;"ation2 &lt;&gt; """"), filter('Quotes-Check'!I142:J142, 'Quotes-Check'!I142:J142&lt;&gt;""glugluieie""),""""))"),"recommendation")</f>
        <v>recommendation</v>
      </c>
      <c r="F142" s="22" t="str">
        <f>IFERROR(__xludf.DUMMYFUNCTION("""COMPUTED_VALUE"""),"Você precisa observar cada aluno e, e aí, vai, de você ouvir bastante, também, qual que era a dificuldade que ele tinha e aonde ele chegou. Então, aí, a gente faz uma avaliação final por aluno, mas a percepção que a gente teve dele. Se ele foi bem, se ele"&amp;" teve muita dúvida, qual foi o ponto que mais gerou dúvida pra ele? ")</f>
        <v>Você precisa observar cada aluno e, e aí, vai, de você ouvir bastante, também, qual que era a dificuldade que ele tinha e aonde ele chegou. Então, aí, a gente faz uma avaliação final por aluno, mas a percepção que a gente teve dele. Se ele foi bem, se ele teve muita dúvida, qual foi o ponto que mais gerou dúvida pra ele? </v>
      </c>
      <c r="G142" s="22" t="str">
        <f>if(QuotesCheckJudgeAbstract&lt;&gt;"",QuotesCheckJudgeAbstract,if(or(QuotesCheckJudge="",and(QuotesCheckJudge = "primeiro", QuotesCheckChallengeRecommendation1 &lt;&gt; "")), QuotesCheckAbstract1,if(and(QuotesCheckJudge = "segundo", QuotesCheckChallengeRecommendation2 &lt;&gt; ""), QuotesCheckAbstract2,"")))</f>
        <v>Individually assess the student's progress throughout the course.</v>
      </c>
    </row>
    <row r="143">
      <c r="A143" s="22">
        <f>IFERROR(__xludf.DUMMYFUNCTION("if(or(QuotesCheckJudge="""",and(QuotesCheckJudge = ""primeiro"", QuotesCheckChallengeRecommendation1 &lt;&gt; """"),and(QuotesCheckJudge = ""segundo"", QuotesCheckChallengeRecommendation2 &lt;&gt; """")), filter('Quotes-Check'!A143:D143, 'Quotes-Check'!A143:D143&lt;&gt;""g"&amp;"lugluieie""),"""")"),4.0)</f>
        <v>4</v>
      </c>
      <c r="B143" s="22">
        <f>IFERROR(__xludf.DUMMYFUNCTION("""COMPUTED_VALUE"""),9.0)</f>
        <v>9</v>
      </c>
      <c r="C143" s="40" t="str">
        <f>IFERROR(__xludf.DUMMYFUNCTION("""COMPUTED_VALUE"""),"R1 / R3")</f>
        <v>R1 / R3</v>
      </c>
      <c r="D143" s="22" t="str">
        <f>IFERROR(__xludf.DUMMYFUNCTION("""COMPUTED_VALUE"""),"Assessment")</f>
        <v>Assessment</v>
      </c>
      <c r="E143" s="46" t="str">
        <f>IFERROR(__xludf.DUMMYFUNCTION("if(or(QuotesCheckJudge="""",and(QuotesCheckJudge = ""primeiro"", QuotesCheckChallengeRecommendation1 &lt;&gt; """")), filter('Quotes-Check'!E143:F143, 'Quotes-Check'!E143:F143&lt;&gt;""glugluieie""),if(and(QuotesCheckJudge = ""segundo"", QuotesCheckChallengeRecommend"&amp;"ation2 &lt;&gt; """"), filter('Quotes-Check'!I143:J143, 'Quotes-Check'!I143:J143&lt;&gt;""glugluieie""),""""))"),"recommendation")</f>
        <v>recommendation</v>
      </c>
      <c r="F143" s="22" t="str">
        <f>IFERROR(__xludf.DUMMYFUNCTION("""COMPUTED_VALUE"""),"eles também avaliam o curso no final, a gente manda um link e recomendo que faça isso, faz a avaliação em alguns tópicos pra fazer o NPS, eu acho que o NPS é a métrica universal para avaliação, eu não sei se vocês põe debaixo do coloca debaixo do radar, o"&amp;" Net Promoter Score, partir de zero a dez, sendo zero a zero a sete é Detractor, oito é passivo, nove dez é promoter baseada num set de perguntas, que você não pode induzir o aluno. ")</f>
        <v>eles também avaliam o curso no final, a gente manda um link e recomendo que faça isso, faz a avaliação em alguns tópicos pra fazer o NPS, eu acho que o NPS é a métrica universal para avaliação, eu não sei se vocês põe debaixo do coloca debaixo do radar, o Net Promoter Score, partir de zero a dez, sendo zero a zero a sete é Detractor, oito é passivo, nove dez é promoter baseada num set de perguntas, que você não pode induzir o aluno. </v>
      </c>
      <c r="G143" s="22" t="str">
        <f>if(QuotesCheckJudgeAbstract&lt;&gt;"",QuotesCheckJudgeAbstract,if(or(QuotesCheckJudge="",and(QuotesCheckJudge = "primeiro", QuotesCheckChallengeRecommendation1 &lt;&gt; "")), QuotesCheckAbstract1,if(and(QuotesCheckJudge = "segundo", QuotesCheckChallengeRecommendation2 &lt;&gt; ""), QuotesCheckAbstract2,"")))</f>
        <v>Evaluate the course, performing an NPS (Net Promoter Score) with students.</v>
      </c>
    </row>
    <row r="144">
      <c r="A144" s="22">
        <f>IFERROR(__xludf.DUMMYFUNCTION("if(or(QuotesCheckJudge="""",and(QuotesCheckJudge = ""primeiro"", QuotesCheckChallengeRecommendation1 &lt;&gt; """"),and(QuotesCheckJudge = ""segundo"", QuotesCheckChallengeRecommendation2 &lt;&gt; """")), filter('Quotes-Check'!A144:D144, 'Quotes-Check'!A144:D144&lt;&gt;""g"&amp;"lugluieie""),"""")"),4.0)</f>
        <v>4</v>
      </c>
      <c r="B144" s="22">
        <f>IFERROR(__xludf.DUMMYFUNCTION("""COMPUTED_VALUE"""),9.0)</f>
        <v>9</v>
      </c>
      <c r="C144" s="40" t="str">
        <f>IFERROR(__xludf.DUMMYFUNCTION("""COMPUTED_VALUE"""),"R1 / R3")</f>
        <v>R1 / R3</v>
      </c>
      <c r="D144" s="22" t="str">
        <f>IFERROR(__xludf.DUMMYFUNCTION("""COMPUTED_VALUE"""),"Assessment")</f>
        <v>Assessment</v>
      </c>
      <c r="E144" s="46" t="str">
        <f>IFERROR(__xludf.DUMMYFUNCTION("if(or(QuotesCheckJudge="""",and(QuotesCheckJudge = ""primeiro"", QuotesCheckChallengeRecommendation1 &lt;&gt; """")), filter('Quotes-Check'!E144:F144, 'Quotes-Check'!E144:F144&lt;&gt;""glugluieie""),if(and(QuotesCheckJudge = ""segundo"", QuotesCheckChallengeRecommend"&amp;"ation2 &lt;&gt; """"), filter('Quotes-Check'!I144:J144, 'Quotes-Check'!I144:J144&lt;&gt;""glugluieie""),""""))"),"recommendation")</f>
        <v>recommendation</v>
      </c>
      <c r="F144" s="22" t="str">
        <f>IFERROR(__xludf.DUMMYFUNCTION("""COMPUTED_VALUE"""),"quando o pessoal entra pra fazer esse, essa, esse feedback com os alunos, entender, os alunos falam também com uma pessoa que não sou eu, que no último dia, eu saio, é uma recomendação que eu dou, eu saio da conferência para deixar os alunos à vontade, a "&amp;"conversarem com essa pessoa comete algum deslize durante o treinamento e a pessoa se incomodou e com você lá dentro ela vai ficar um pouco, um pouco com medo de expor apesar de também ser por email.")</f>
        <v>quando o pessoal entra pra fazer esse, essa, esse feedback com os alunos, entender, os alunos falam também com uma pessoa que não sou eu, que no último dia, eu saio, é uma recomendação que eu dou, eu saio da conferência para deixar os alunos à vontade, a conversarem com essa pessoa comete algum deslize durante o treinamento e a pessoa se incomodou e com você lá dentro ela vai ficar um pouco, um pouco com medo de expor apesar de também ser por email.</v>
      </c>
      <c r="G144" s="22" t="str">
        <f>if(QuotesCheckJudgeAbstract&lt;&gt;"",QuotesCheckJudgeAbstract,if(or(QuotesCheckJudge="",and(QuotesCheckJudge = "primeiro", QuotesCheckChallengeRecommendation1 &lt;&gt; "")), QuotesCheckAbstract1,if(and(QuotesCheckJudge = "segundo", QuotesCheckChallengeRecommendation2 &lt;&gt; ""), QuotesCheckAbstract2,"")))</f>
        <v>Teachers and monitors must not be present at the time of course evaluation by students.</v>
      </c>
    </row>
    <row r="145">
      <c r="A145" s="22">
        <f>IFERROR(__xludf.DUMMYFUNCTION("if(or(QuotesCheckJudge="""",and(QuotesCheckJudge = ""primeiro"", QuotesCheckChallengeRecommendation1 &lt;&gt; """"),and(QuotesCheckJudge = ""segundo"", QuotesCheckChallengeRecommendation2 &lt;&gt; """")), filter('Quotes-Check'!A145:D145, 'Quotes-Check'!A145:D145&lt;&gt;""g"&amp;"lugluieie""),"""")"),4.0)</f>
        <v>4</v>
      </c>
      <c r="B145" s="22">
        <f>IFERROR(__xludf.DUMMYFUNCTION("""COMPUTED_VALUE"""),9.0)</f>
        <v>9</v>
      </c>
      <c r="C145" s="40" t="str">
        <f>IFERROR(__xludf.DUMMYFUNCTION("""COMPUTED_VALUE"""),"R1 / R3")</f>
        <v>R1 / R3</v>
      </c>
      <c r="D145" s="22" t="str">
        <f>IFERROR(__xludf.DUMMYFUNCTION("""COMPUTED_VALUE"""),"Assessment")</f>
        <v>Assessment</v>
      </c>
      <c r="E145" s="46" t="str">
        <f>IFERROR(__xludf.DUMMYFUNCTION("if(or(QuotesCheckJudge="""",and(QuotesCheckJudge = ""primeiro"", QuotesCheckChallengeRecommendation1 &lt;&gt; """")), filter('Quotes-Check'!E145:F145, 'Quotes-Check'!E145:F145&lt;&gt;""glugluieie""),if(and(QuotesCheckJudge = ""segundo"", QuotesCheckChallengeRecommend"&amp;"ation2 &lt;&gt; """"), filter('Quotes-Check'!I145:J145, 'Quotes-Check'!I145:J145&lt;&gt;""glugluieie""),""""))"),"recommendation")</f>
        <v>recommendation</v>
      </c>
      <c r="F145" s="22" t="str">
        <f>IFERROR(__xludf.DUMMYFUNCTION("""COMPUTED_VALUE"""),"Se possível gravar, pelo menos, um treinamento para uma autoscopia no final. Vê se você tem algum vício de linguagem, se teve algum processo que não encaixou do jeito que você imaginou, que ia encaixar, porque na hora que você tá falando e fazendo, às vez"&amp;"es, passa um detalhe que não deveria.")</f>
        <v>Se possível gravar, pelo menos, um treinamento para uma autoscopia no final. Vê se você tem algum vício de linguagem, se teve algum processo que não encaixou do jeito que você imaginou, que ia encaixar, porque na hora que você tá falando e fazendo, às vezes, passa um detalhe que não deveria.</v>
      </c>
      <c r="G145" s="22" t="str">
        <f>if(QuotesCheckJudgeAbstract&lt;&gt;"",QuotesCheckJudgeAbstract,if(or(QuotesCheckJudge="",and(QuotesCheckJudge = "primeiro", QuotesCheckChallengeRecommendation1 &lt;&gt; "")), QuotesCheckAbstract1,if(and(QuotesCheckJudge = "segundo", QuotesCheckChallengeRecommendation2 &lt;&gt; ""), QuotesCheckAbstract2,"")))</f>
        <v>Gravar um treinamento para que o professor avalie vício de linguagem e se a aula fluiu conforme planejado.</v>
      </c>
    </row>
    <row r="146">
      <c r="A146" s="22">
        <f>IFERROR(__xludf.DUMMYFUNCTION("if(or(QuotesCheckJudge="""",and(QuotesCheckJudge = ""primeiro"", QuotesCheckChallengeRecommendation1 &lt;&gt; """"),and(QuotesCheckJudge = ""segundo"", QuotesCheckChallengeRecommendation2 &lt;&gt; """")), filter('Quotes-Check'!A146:D146, 'Quotes-Check'!A146:D146&lt;&gt;""g"&amp;"lugluieie""),"""")"),4.0)</f>
        <v>4</v>
      </c>
      <c r="B146" s="22">
        <f>IFERROR(__xludf.DUMMYFUNCTION("""COMPUTED_VALUE"""),10.0)</f>
        <v>10</v>
      </c>
      <c r="C146" s="40" t="str">
        <f>IFERROR(__xludf.DUMMYFUNCTION("""COMPUTED_VALUE"""),"R1 / R3")</f>
        <v>R1 / R3</v>
      </c>
      <c r="D146" s="22" t="str">
        <f>IFERROR(__xludf.DUMMYFUNCTION("""COMPUTED_VALUE"""),"Curriculum")</f>
        <v>Curriculum</v>
      </c>
      <c r="E146" s="46" t="str">
        <f>IFERROR(__xludf.DUMMYFUNCTION("if(or(QuotesCheckJudge="""",and(QuotesCheckJudge = ""primeiro"", QuotesCheckChallengeRecommendation1 &lt;&gt; """")), filter('Quotes-Check'!E146:F146, 'Quotes-Check'!E146:F146&lt;&gt;""glugluieie""),if(and(QuotesCheckJudge = ""segundo"", QuotesCheckChallengeRecommend"&amp;"ation2 &lt;&gt; """"), filter('Quotes-Check'!I146:J146, 'Quotes-Check'!I146:J146&lt;&gt;""glugluieie""),""""))"),"recommendation")</f>
        <v>recommendation</v>
      </c>
      <c r="F146" s="22" t="str">
        <f>IFERROR(__xludf.DUMMYFUNCTION("""COMPUTED_VALUE"""),"mesclar, teórico e prático [...] é importantíssimo. ")</f>
        <v>mesclar, teórico e prático [...] é importantíssimo. </v>
      </c>
      <c r="G146" s="22" t="str">
        <f>if(QuotesCheckJudgeAbstract&lt;&gt;"",QuotesCheckJudgeAbstract,if(or(QuotesCheckJudge="",and(QuotesCheckJudge = "primeiro", QuotesCheckChallengeRecommendation1 &lt;&gt; "")), QuotesCheckAbstract1,if(and(QuotesCheckJudge = "segundo", QuotesCheckChallengeRecommendation2 &lt;&gt; ""), QuotesCheckAbstract2,"")))</f>
        <v>It is essential to mix the teaching of the theoretical part and the practical part of DevOps.</v>
      </c>
    </row>
    <row r="147">
      <c r="A147" s="22">
        <f>IFERROR(__xludf.DUMMYFUNCTION("if(or(QuotesCheckJudge="""",and(QuotesCheckJudge = ""primeiro"", QuotesCheckChallengeRecommendation1 &lt;&gt; """"),and(QuotesCheckJudge = ""segundo"", QuotesCheckChallengeRecommendation2 &lt;&gt; """")), filter('Quotes-Check'!A147:D147, 'Quotes-Check'!A147:D147&lt;&gt;""g"&amp;"lugluieie""),"""")"),4.0)</f>
        <v>4</v>
      </c>
      <c r="B147" s="22">
        <f>IFERROR(__xludf.DUMMYFUNCTION("""COMPUTED_VALUE"""),10.0)</f>
        <v>10</v>
      </c>
      <c r="C147" s="40" t="str">
        <f>IFERROR(__xludf.DUMMYFUNCTION("""COMPUTED_VALUE"""),"R1 / R3")</f>
        <v>R1 / R3</v>
      </c>
      <c r="D147" s="22" t="str">
        <f>IFERROR(__xludf.DUMMYFUNCTION("""COMPUTED_VALUE"""),"Curriculum")</f>
        <v>Curriculum</v>
      </c>
      <c r="E147" s="46" t="str">
        <f>IFERROR(__xludf.DUMMYFUNCTION("if(or(QuotesCheckJudge="""",and(QuotesCheckJudge = ""primeiro"", QuotesCheckChallengeRecommendation1 &lt;&gt; """")), filter('Quotes-Check'!E147:F147, 'Quotes-Check'!E147:F147&lt;&gt;""glugluieie""),if(and(QuotesCheckJudge = ""segundo"", QuotesCheckChallengeRecommend"&amp;"ation2 &lt;&gt; """"), filter('Quotes-Check'!I147:J147, 'Quotes-Check'!I147:J147&lt;&gt;""glugluieie""),""""))"),"recommendation")</f>
        <v>recommendation</v>
      </c>
      <c r="F147" s="22" t="str">
        <f>IFERROR(__xludf.DUMMYFUNCTION("""COMPUTED_VALUE"""),"Falar sobre a cultura é importante, sobre respeitar as individualidades do seu time, entender que não é uma cultura de culpa e nem de, eu não vou implementar DevOps para reduzir o quadro de funcionários. ")</f>
        <v>Falar sobre a cultura é importante, sobre respeitar as individualidades do seu time, entender que não é uma cultura de culpa e nem de, eu não vou implementar DevOps para reduzir o quadro de funcionários. </v>
      </c>
      <c r="G147" s="22" t="str">
        <f>if(QuotesCheckJudgeAbstract&lt;&gt;"",QuotesCheckJudgeAbstract,if(or(QuotesCheckJudge="",and(QuotesCheckJudge = "primeiro", QuotesCheckChallengeRecommendation1 &lt;&gt; "")), QuotesCheckAbstract1,if(and(QuotesCheckJudge = "segundo", QuotesCheckChallengeRecommendation2 &lt;&gt; ""), QuotesCheckAbstract2,"")))</f>
        <v>Teach the DevOps culture: respect the individualities of your team, not looking for blame, but for solutions.</v>
      </c>
    </row>
    <row r="148">
      <c r="A148" s="22">
        <f>IFERROR(__xludf.DUMMYFUNCTION("if(or(QuotesCheckJudge="""",and(QuotesCheckJudge = ""primeiro"", QuotesCheckChallengeRecommendation1 &lt;&gt; """"),and(QuotesCheckJudge = ""segundo"", QuotesCheckChallengeRecommendation2 &lt;&gt; """")), filter('Quotes-Check'!A148:D148, 'Quotes-Check'!A148:D148&lt;&gt;""g"&amp;"lugluieie""),"""")"),4.0)</f>
        <v>4</v>
      </c>
      <c r="B148" s="22">
        <f>IFERROR(__xludf.DUMMYFUNCTION("""COMPUTED_VALUE"""),10.0)</f>
        <v>10</v>
      </c>
      <c r="C148" s="40" t="str">
        <f>IFERROR(__xludf.DUMMYFUNCTION("""COMPUTED_VALUE"""),"R1 / R3")</f>
        <v>R1 / R3</v>
      </c>
      <c r="D148" s="22" t="str">
        <f>IFERROR(__xludf.DUMMYFUNCTION("""COMPUTED_VALUE"""),"Curriculum")</f>
        <v>Curriculum</v>
      </c>
      <c r="E148" s="46" t="str">
        <f>IFERROR(__xludf.DUMMYFUNCTION("if(or(QuotesCheckJudge="""",and(QuotesCheckJudge = ""primeiro"", QuotesCheckChallengeRecommendation1 &lt;&gt; """")), filter('Quotes-Check'!E148:F148, 'Quotes-Check'!E148:F148&lt;&gt;""glugluieie""),if(and(QuotesCheckJudge = ""segundo"", QuotesCheckChallengeRecommend"&amp;"ation2 &lt;&gt; """"), filter('Quotes-Check'!I148:J148, 'Quotes-Check'!I148:J148&lt;&gt;""glugluieie""),""""))"),"recommendation")</f>
        <v>recommendation</v>
      </c>
      <c r="F148" s="22" t="str">
        <f>IFERROR(__xludf.DUMMYFUNCTION("""COMPUTED_VALUE"""),"precisa-se falar da parte teórica sobre o Lean que é o método da Toyota, Kaisen também é bem importante, Agile que tá muito vinculada ao processo DevOps")</f>
        <v>precisa-se falar da parte teórica sobre o Lean que é o método da Toyota, Kaisen também é bem importante, Agile que tá muito vinculada ao processo DevOps</v>
      </c>
      <c r="G148" s="22" t="str">
        <f>if(QuotesCheckJudgeAbstract&lt;&gt;"",QuotesCheckJudgeAbstract,if(or(QuotesCheckJudge="",and(QuotesCheckJudge = "primeiro", QuotesCheckChallengeRecommendation1 &lt;&gt; "")), QuotesCheckAbstract1,if(and(QuotesCheckJudge = "segundo", QuotesCheckChallengeRecommendation2 &lt;&gt; ""), QuotesCheckAbstract2,"")))</f>
        <v>In the theoretical part of DevOps, Lean, Kaisen, and Agile should be taught.</v>
      </c>
    </row>
    <row r="149">
      <c r="A149" s="22">
        <f>IFERROR(__xludf.DUMMYFUNCTION("if(or(QuotesCheckJudge="""",and(QuotesCheckJudge = ""primeiro"", QuotesCheckChallengeRecommendation1 &lt;&gt; """"),and(QuotesCheckJudge = ""segundo"", QuotesCheckChallengeRecommendation2 &lt;&gt; """")), filter('Quotes-Check'!A149:D149, 'Quotes-Check'!A149:D149&lt;&gt;""g"&amp;"lugluieie""),"""")"),4.0)</f>
        <v>4</v>
      </c>
      <c r="B149" s="22">
        <f>IFERROR(__xludf.DUMMYFUNCTION("""COMPUTED_VALUE"""),10.0)</f>
        <v>10</v>
      </c>
      <c r="C149" s="40" t="str">
        <f>IFERROR(__xludf.DUMMYFUNCTION("""COMPUTED_VALUE"""),"R1 / R3")</f>
        <v>R1 / R3</v>
      </c>
      <c r="D149" s="22" t="str">
        <f>IFERROR(__xludf.DUMMYFUNCTION("""COMPUTED_VALUE"""),"Curriculum")</f>
        <v>Curriculum</v>
      </c>
      <c r="E149" s="46" t="str">
        <f>IFERROR(__xludf.DUMMYFUNCTION("if(or(QuotesCheckJudge="""",and(QuotesCheckJudge = ""primeiro"", QuotesCheckChallengeRecommendation1 &lt;&gt; """")), filter('Quotes-Check'!E149:F149, 'Quotes-Check'!E149:F149&lt;&gt;""glugluieie""),if(and(QuotesCheckJudge = ""segundo"", QuotesCheckChallengeRecommend"&amp;"ation2 &lt;&gt; """"), filter('Quotes-Check'!I149:J149, 'Quotes-Check'!I149:J149&lt;&gt;""glugluieie""),""""))"),"recommendation")</f>
        <v>recommendation</v>
      </c>
      <c r="F149" s="22" t="str">
        <f>IFERROR(__xludf.DUMMYFUNCTION("""COMPUTED_VALUE"""),"do que é prático, da ementa, é fazer um software de ponta-a-ponta, [...] Mas, de ponta a ponta, e o final, que é o monitoramento.")</f>
        <v>do que é prático, da ementa, é fazer um software de ponta-a-ponta, [...] Mas, de ponta a ponta, e o final, que é o monitoramento.</v>
      </c>
      <c r="G149" s="22" t="str">
        <f>if(QuotesCheckJudgeAbstract&lt;&gt;"",QuotesCheckJudgeAbstract,if(or(QuotesCheckJudge="",and(QuotesCheckJudge = "primeiro", QuotesCheckChallengeRecommendation1 &lt;&gt; "")), QuotesCheckAbstract1,if(and(QuotesCheckJudge = "segundo", QuotesCheckChallengeRecommendation2 &lt;&gt; ""), QuotesCheckAbstract2,"")))</f>
        <v>Make software from start to finish, going through the DevOps steps to the monitoring step.</v>
      </c>
    </row>
    <row r="150">
      <c r="A150" s="22">
        <f>IFERROR(__xludf.DUMMYFUNCTION("if(or(QuotesCheckJudge="""",and(QuotesCheckJudge = ""primeiro"", QuotesCheckChallengeRecommendation1 &lt;&gt; """"),and(QuotesCheckJudge = ""segundo"", QuotesCheckChallengeRecommendation2 &lt;&gt; """")), filter('Quotes-Check'!A150:D150, 'Quotes-Check'!A150:D150&lt;&gt;""g"&amp;"lugluieie""),"""")"),4.0)</f>
        <v>4</v>
      </c>
      <c r="B150" s="22">
        <f>IFERROR(__xludf.DUMMYFUNCTION("""COMPUTED_VALUE"""),10.0)</f>
        <v>10</v>
      </c>
      <c r="C150" s="40" t="str">
        <f>IFERROR(__xludf.DUMMYFUNCTION("""COMPUTED_VALUE"""),"R1 / R3")</f>
        <v>R1 / R3</v>
      </c>
      <c r="D150" s="22" t="str">
        <f>IFERROR(__xludf.DUMMYFUNCTION("""COMPUTED_VALUE"""),"Curriculum")</f>
        <v>Curriculum</v>
      </c>
      <c r="E150" s="46" t="str">
        <f>IFERROR(__xludf.DUMMYFUNCTION("if(or(QuotesCheckJudge="""",and(QuotesCheckJudge = ""primeiro"", QuotesCheckChallengeRecommendation1 &lt;&gt; """")), filter('Quotes-Check'!E150:F150, 'Quotes-Check'!E150:F150&lt;&gt;""glugluieie""),if(and(QuotesCheckJudge = ""segundo"", QuotesCheckChallengeRecommend"&amp;"ation2 &lt;&gt; """"), filter('Quotes-Check'!I150:J150, 'Quotes-Check'!I150:J150&lt;&gt;""glugluieie""),""""))"),"recommendation")</f>
        <v>recommendation</v>
      </c>
      <c r="F150" s="22" t="str">
        <f>IFERROR(__xludf.DUMMYFUNCTION("""COMPUTED_VALUE"""),"o software [...] fazer o build com o Jenkins ")</f>
        <v>o software [...] fazer o build com o Jenkins </v>
      </c>
      <c r="G150" s="22" t="str">
        <f>if(QuotesCheckJudgeAbstract&lt;&gt;"",QuotesCheckJudgeAbstract,if(or(QuotesCheckJudge="",and(QuotesCheckJudge = "primeiro", QuotesCheckChallengeRecommendation1 &lt;&gt; "")), QuotesCheckAbstract1,if(and(QuotesCheckJudge = "segundo", QuotesCheckChallengeRecommendation2 &lt;&gt; ""), QuotesCheckAbstract2,"")))</f>
        <v>Use Jenkins to do continuous integration.</v>
      </c>
    </row>
    <row r="151">
      <c r="A151" s="22">
        <f>IFERROR(__xludf.DUMMYFUNCTION("if(or(QuotesCheckJudge="""",and(QuotesCheckJudge = ""primeiro"", QuotesCheckChallengeRecommendation1 &lt;&gt; """"),and(QuotesCheckJudge = ""segundo"", QuotesCheckChallengeRecommendation2 &lt;&gt; """")), filter('Quotes-Check'!A151:D151, 'Quotes-Check'!A151:D151&lt;&gt;""g"&amp;"lugluieie""),"""")"),4.0)</f>
        <v>4</v>
      </c>
      <c r="B151" s="22">
        <f>IFERROR(__xludf.DUMMYFUNCTION("""COMPUTED_VALUE"""),10.0)</f>
        <v>10</v>
      </c>
      <c r="C151" s="40" t="str">
        <f>IFERROR(__xludf.DUMMYFUNCTION("""COMPUTED_VALUE"""),"R1 / R3")</f>
        <v>R1 / R3</v>
      </c>
      <c r="D151" s="22" t="str">
        <f>IFERROR(__xludf.DUMMYFUNCTION("""COMPUTED_VALUE"""),"Curriculum")</f>
        <v>Curriculum</v>
      </c>
      <c r="E151" s="46" t="str">
        <f>IFERROR(__xludf.DUMMYFUNCTION("if(or(QuotesCheckJudge="""",and(QuotesCheckJudge = ""primeiro"", QuotesCheckChallengeRecommendation1 &lt;&gt; """")), filter('Quotes-Check'!E151:F151, 'Quotes-Check'!E151:F151&lt;&gt;""glugluieie""),if(and(QuotesCheckJudge = ""segundo"", QuotesCheckChallengeRecommend"&amp;"ation2 &lt;&gt; """"), filter('Quotes-Check'!I151:J151, 'Quotes-Check'!I151:J151&lt;&gt;""glugluieie""),""""))"),"recommendation")</f>
        <v>recommendation</v>
      </c>
      <c r="F151" s="22" t="str">
        <f>IFERROR(__xludf.DUMMYFUNCTION("""COMPUTED_VALUE"""),"build do software [...]  entregar isso numa VM, de alguma maneira, da melhor maneira que você entenda, que é possível na sua suíte [...] Você pode entregar com o Docker")</f>
        <v>build do software [...]  entregar isso numa VM, de alguma maneira, da melhor maneira que você entenda, que é possível na sua suíte [...] Você pode entregar com o Docker</v>
      </c>
      <c r="G151" s="22" t="str">
        <f>if(QuotesCheckJudgeAbstract&lt;&gt;"",QuotesCheckJudgeAbstract,if(or(QuotesCheckJudge="",and(QuotesCheckJudge = "primeiro", QuotesCheckChallengeRecommendation1 &lt;&gt; "")), QuotesCheckAbstract1,if(and(QuotesCheckJudge = "segundo", QuotesCheckChallengeRecommendation2 &lt;&gt; ""), QuotesCheckAbstract2,"")))</f>
        <v>Perform continuous delivery through virtual machines or with Docker.</v>
      </c>
    </row>
    <row r="152">
      <c r="A152" s="22">
        <f>IFERROR(__xludf.DUMMYFUNCTION("if(or(QuotesCheckJudge="""",and(QuotesCheckJudge = ""primeiro"", QuotesCheckChallengeRecommendation1 &lt;&gt; """"),and(QuotesCheckJudge = ""segundo"", QuotesCheckChallengeRecommendation2 &lt;&gt; """")), filter('Quotes-Check'!A152:D152, 'Quotes-Check'!A152:D152&lt;&gt;""g"&amp;"lugluieie""),"""")"),4.0)</f>
        <v>4</v>
      </c>
      <c r="B152" s="22">
        <f>IFERROR(__xludf.DUMMYFUNCTION("""COMPUTED_VALUE"""),10.0)</f>
        <v>10</v>
      </c>
      <c r="C152" s="40" t="str">
        <f>IFERROR(__xludf.DUMMYFUNCTION("""COMPUTED_VALUE"""),"R1 / R3")</f>
        <v>R1 / R3</v>
      </c>
      <c r="D152" s="22" t="str">
        <f>IFERROR(__xludf.DUMMYFUNCTION("""COMPUTED_VALUE"""),"Curriculum")</f>
        <v>Curriculum</v>
      </c>
      <c r="E152" s="46" t="str">
        <f>IFERROR(__xludf.DUMMYFUNCTION("if(or(QuotesCheckJudge="""",and(QuotesCheckJudge = ""primeiro"", QuotesCheckChallengeRecommendation1 &lt;&gt; """")), filter('Quotes-Check'!E152:F152, 'Quotes-Check'!E152:F152&lt;&gt;""glugluieie""),if(and(QuotesCheckJudge = ""segundo"", QuotesCheckChallengeRecommend"&amp;"ation2 &lt;&gt; """"), filter('Quotes-Check'!I152:J152, 'Quotes-Check'!I152:J152&lt;&gt;""glugluieie""),""""))"),"recommendation")</f>
        <v>recommendation</v>
      </c>
      <c r="F152" s="22" t="str">
        <f>IFERROR(__xludf.DUMMYFUNCTION("""COMPUTED_VALUE"""),"o software [...] uma ferramenta de monitoramento, no final, pra pra você olhar. [...] Olhar um Grafana, por exemplo, com o Prometheus, que é um software mais free, assim.")</f>
        <v>o software [...] uma ferramenta de monitoramento, no final, pra pra você olhar. [...] Olhar um Grafana, por exemplo, com o Prometheus, que é um software mais free, assim.</v>
      </c>
      <c r="G152" s="22" t="str">
        <f>if(QuotesCheckJudgeAbstract&lt;&gt;"",QuotesCheckJudgeAbstract,if(or(QuotesCheckJudge="",and(QuotesCheckJudge = "primeiro", QuotesCheckChallengeRecommendation1 &lt;&gt; "")), QuotesCheckAbstract1,if(and(QuotesCheckJudge = "segundo", QuotesCheckChallengeRecommendation2 &lt;&gt; ""), QuotesCheckAbstract2,"")))</f>
        <v>Use Grafana and Prometheus as monitoring tools.</v>
      </c>
    </row>
    <row r="153">
      <c r="A153" s="22">
        <f>IFERROR(__xludf.DUMMYFUNCTION("if(or(QuotesCheckJudge="""",and(QuotesCheckJudge = ""primeiro"", QuotesCheckChallengeRecommendation1 &lt;&gt; """"),and(QuotesCheckJudge = ""segundo"", QuotesCheckChallengeRecommendation2 &lt;&gt; """")), filter('Quotes-Check'!A153:D153, 'Quotes-Check'!A153:D153&lt;&gt;""g"&amp;"lugluieie""),"""")"),4.0)</f>
        <v>4</v>
      </c>
      <c r="B153" s="22">
        <f>IFERROR(__xludf.DUMMYFUNCTION("""COMPUTED_VALUE"""),10.0)</f>
        <v>10</v>
      </c>
      <c r="C153" s="40" t="str">
        <f>IFERROR(__xludf.DUMMYFUNCTION("""COMPUTED_VALUE"""),"R1 / R3")</f>
        <v>R1 / R3</v>
      </c>
      <c r="D153" s="22" t="str">
        <f>IFERROR(__xludf.DUMMYFUNCTION("""COMPUTED_VALUE"""),"Curriculum")</f>
        <v>Curriculum</v>
      </c>
      <c r="E153" s="46" t="str">
        <f>IFERROR(__xludf.DUMMYFUNCTION("if(or(QuotesCheckJudge="""",and(QuotesCheckJudge = ""primeiro"", QuotesCheckChallengeRecommendation1 &lt;&gt; """")), filter('Quotes-Check'!E153:F153, 'Quotes-Check'!E153:F153&lt;&gt;""glugluieie""),if(and(QuotesCheckJudge = ""segundo"", QuotesCheckChallengeRecommend"&amp;"ation2 &lt;&gt; """"), filter('Quotes-Check'!I153:J153, 'Quotes-Check'!I153:J153&lt;&gt;""glugluieie""),""""))"),"recommendation")</f>
        <v>recommendation</v>
      </c>
      <c r="F153" s="22" t="str">
        <f>IFERROR(__xludf.DUMMYFUNCTION("""COMPUTED_VALUE"""),"da ementa, é fazer um software de ponta-a-ponta, entender o software na sua concepção. A gente já entrega pro aluno isso meio que pronto, né? Porque a gente não vai criar um software do zero, porque o código já tá meio que lapidado, é um código de um fóru"&amp;"m em Java, onde a gente tem algumas características que dependem da máquina para fazer o build, então nós vamos desacoplar. ")</f>
        <v>da ementa, é fazer um software de ponta-a-ponta, entender o software na sua concepção. A gente já entrega pro aluno isso meio que pronto, né? Porque a gente não vai criar um software do zero, porque o código já tá meio que lapidado, é um código de um fórum em Java, onde a gente tem algumas características que dependem da máquina para fazer o build, então nós vamos desacoplar. </v>
      </c>
      <c r="G153" s="22" t="str">
        <f>if(QuotesCheckJudgeAbstract&lt;&gt;"",QuotesCheckJudgeAbstract,if(or(QuotesCheckJudge="",and(QuotesCheckJudge = "primeiro", QuotesCheckChallengeRecommendation1 &lt;&gt; "")), QuotesCheckAbstract1,if(and(QuotesCheckJudge = "segundo", QuotesCheckChallengeRecommendation2 &lt;&gt; ""), QuotesCheckAbstract2,"")))</f>
        <v>Use a complete example project from places such as a java discussion forum.</v>
      </c>
    </row>
    <row r="154">
      <c r="A154" s="22">
        <f>IFERROR(__xludf.DUMMYFUNCTION("if(or(QuotesCheckJudge="""",and(QuotesCheckJudge = ""primeiro"", QuotesCheckChallengeRecommendation1 &lt;&gt; """"),and(QuotesCheckJudge = ""segundo"", QuotesCheckChallengeRecommendation2 &lt;&gt; """")), filter('Quotes-Check'!A154:D154, 'Quotes-Check'!A154:D154&lt;&gt;""g"&amp;"lugluieie""),"""")"),4.0)</f>
        <v>4</v>
      </c>
      <c r="B154" s="22">
        <f>IFERROR(__xludf.DUMMYFUNCTION("""COMPUTED_VALUE"""),10.0)</f>
        <v>10</v>
      </c>
      <c r="C154" s="40" t="str">
        <f>IFERROR(__xludf.DUMMYFUNCTION("""COMPUTED_VALUE"""),"R1 / R3")</f>
        <v>R1 / R3</v>
      </c>
      <c r="D154" s="22" t="str">
        <f>IFERROR(__xludf.DUMMYFUNCTION("""COMPUTED_VALUE"""),"Curriculum")</f>
        <v>Curriculum</v>
      </c>
      <c r="E154" s="46" t="str">
        <f>IFERROR(__xludf.DUMMYFUNCTION("if(or(QuotesCheckJudge="""",and(QuotesCheckJudge = ""primeiro"", QuotesCheckChallengeRecommendation1 &lt;&gt; """")), filter('Quotes-Check'!E154:F154, 'Quotes-Check'!E154:F154&lt;&gt;""glugluieie""),if(and(QuotesCheckJudge = ""segundo"", QuotesCheckChallengeRecommend"&amp;"ation2 &lt;&gt; """"), filter('Quotes-Check'!I154:J154, 'Quotes-Check'!I154:J154&lt;&gt;""glugluieie""),""""))"),"recommendation")</f>
        <v>recommendation</v>
      </c>
      <c r="F154" s="22" t="str">
        <f>IFERROR(__xludf.DUMMYFUNCTION("""COMPUTED_VALUE"""),"Então, primeira coisa, desacoplar a conexão com o banco que está versionada no código fonte. Pode continuar versionado as String os apesar de não ser a melhor prática, mas você não tem que comentar o código pra trocar o ambiente, porque o TomCat quem vai "&amp;"ler isso daí. Versionar num git, usar uma integração contínua como o Jenkins, por exemplo, e um deploy contínuo, um delivery contínuo com, pode ser com um Ansible, pode ser com qualquer ferramenta que você entregue ou numa VM ou na Cloud. ")</f>
        <v>Então, primeira coisa, desacoplar a conexão com o banco que está versionada no código fonte. Pode continuar versionado as String os apesar de não ser a melhor prática, mas você não tem que comentar o código pra trocar o ambiente, porque o TomCat quem vai ler isso daí. Versionar num git, usar uma integração contínua como o Jenkins, por exemplo, e um deploy contínuo, um delivery contínuo com, pode ser com um Ansible, pode ser com qualquer ferramenta que você entregue ou numa VM ou na Cloud. </v>
      </c>
      <c r="G154" s="22" t="str">
        <f>if(QuotesCheckJudgeAbstract&lt;&gt;"",QuotesCheckJudgeAbstract,if(or(QuotesCheckJudge="",and(QuotesCheckJudge = "primeiro", QuotesCheckChallengeRecommendation1 &lt;&gt; "")), QuotesCheckAbstract1,if(and(QuotesCheckJudge = "segundo", QuotesCheckChallengeRecommendation2 &lt;&gt; ""), QuotesCheckAbstract2,"")))</f>
        <v>Carry out the following practical activities during the course: the first step is to decouple the database connection from the system code, then version the code with Git, insert continuous integration with Jenkins, and finish with constant delivery using public cloud services or tools with Ansible.</v>
      </c>
    </row>
    <row r="155">
      <c r="A155" s="22">
        <f>IFERROR(__xludf.DUMMYFUNCTION("if(or(QuotesCheckJudge="""",and(QuotesCheckJudge = ""primeiro"", QuotesCheckChallengeRecommendation1 &lt;&gt; """"),and(QuotesCheckJudge = ""segundo"", QuotesCheckChallengeRecommendation2 &lt;&gt; """")), filter('Quotes-Check'!A155:D155, 'Quotes-Check'!A155:D155&lt;&gt;""g"&amp;"lugluieie""),"""")"),4.0)</f>
        <v>4</v>
      </c>
      <c r="B155" s="22">
        <f>IFERROR(__xludf.DUMMYFUNCTION("""COMPUTED_VALUE"""),11.0)</f>
        <v>11</v>
      </c>
      <c r="C155" s="40" t="str">
        <f>IFERROR(__xludf.DUMMYFUNCTION("""COMPUTED_VALUE"""),"R1 / R2")</f>
        <v>R1 / R2</v>
      </c>
      <c r="D155" s="22" t="str">
        <f>IFERROR(__xludf.DUMMYFUNCTION("""COMPUTED_VALUE"""),"Pedagogy")</f>
        <v>Pedagogy</v>
      </c>
      <c r="E155" s="46" t="str">
        <f>IFERROR(__xludf.DUMMYFUNCTION("if(or(QuotesCheckJudge="""",and(QuotesCheckJudge = ""primeiro"", QuotesCheckChallengeRecommendation1 &lt;&gt; """")), filter('Quotes-Check'!E155:F155, 'Quotes-Check'!E155:F155&lt;&gt;""glugluieie""),if(and(QuotesCheckJudge = ""segundo"", QuotesCheckChallengeRecommend"&amp;"ation2 &lt;&gt; """"), filter('Quotes-Check'!I155:J155, 'Quotes-Check'!I155:J155&lt;&gt;""glugluieie""),""""))"),"recommendation")</f>
        <v>recommendation</v>
      </c>
      <c r="F155" s="22" t="str">
        <f>IFERROR(__xludf.DUMMYFUNCTION("""COMPUTED_VALUE"""),"a gente precisa se adaptar ao ambiente e tentar, a cada vinte a trinta minutos, interagir com o aluno, para que ele faça algo para manter a atenção dele [...] Sempre propor os desafios")</f>
        <v>a gente precisa se adaptar ao ambiente e tentar, a cada vinte a trinta minutos, interagir com o aluno, para que ele faça algo para manter a atenção dele [...] Sempre propor os desafios</v>
      </c>
      <c r="G155" s="22" t="str">
        <f>if(QuotesCheckJudgeAbstract&lt;&gt;"",QuotesCheckJudgeAbstract,if(or(QuotesCheckJudge="",and(QuotesCheckJudge = "primeiro", QuotesCheckChallengeRecommendation1 &lt;&gt; "")), QuotesCheckAbstract1,if(and(QuotesCheckJudge = "segundo", QuotesCheckChallengeRecommendation2 &lt;&gt; ""), QuotesCheckAbstract2,"")))</f>
        <v>Interact with the student to keep him alert, proposing challenges, for example.</v>
      </c>
    </row>
    <row r="156">
      <c r="A156" s="22">
        <f>IFERROR(__xludf.DUMMYFUNCTION("if(or(QuotesCheckJudge="""",and(QuotesCheckJudge = ""primeiro"", QuotesCheckChallengeRecommendation1 &lt;&gt; """"),and(QuotesCheckJudge = ""segundo"", QuotesCheckChallengeRecommendation2 &lt;&gt; """")), filter('Quotes-Check'!A156:D156, 'Quotes-Check'!A156:D156&lt;&gt;""g"&amp;"lugluieie""),"""")"),4.0)</f>
        <v>4</v>
      </c>
      <c r="B156" s="22">
        <f>IFERROR(__xludf.DUMMYFUNCTION("""COMPUTED_VALUE"""),11.0)</f>
        <v>11</v>
      </c>
      <c r="C156" s="40" t="str">
        <f>IFERROR(__xludf.DUMMYFUNCTION("""COMPUTED_VALUE"""),"R1 / R2")</f>
        <v>R1 / R2</v>
      </c>
      <c r="D156" s="22" t="str">
        <f>IFERROR(__xludf.DUMMYFUNCTION("""COMPUTED_VALUE"""),"Pedagogy")</f>
        <v>Pedagogy</v>
      </c>
      <c r="E156" s="46" t="str">
        <f>IFERROR(__xludf.DUMMYFUNCTION("if(or(QuotesCheckJudge="""",and(QuotesCheckJudge = ""primeiro"", QuotesCheckChallengeRecommendation1 &lt;&gt; """")), filter('Quotes-Check'!E156:F156, 'Quotes-Check'!E156:F156&lt;&gt;""glugluieie""),if(and(QuotesCheckJudge = ""segundo"", QuotesCheckChallengeRecommend"&amp;"ation2 &lt;&gt; """"), filter('Quotes-Check'!I156:J156, 'Quotes-Check'!I156:J156&lt;&gt;""glugluieie""),""""))"),"recommendation")</f>
        <v>recommendation</v>
      </c>
      <c r="F156" s="22" t="str">
        <f>IFERROR(__xludf.DUMMYFUNCTION("""COMPUTED_VALUE"""),"deixar bem claro, pedagogicamente, que eu acho que envolve você uma boa configuração de som pro que o aluno te ouça bem, sempre com a câmera aberta, mesmo que o aluno não abre, porque ele não pode, mas que ele te veja, que ele sinta essa aproximação dentr"&amp;"o do possível. ")</f>
        <v>deixar bem claro, pedagogicamente, que eu acho que envolve você uma boa configuração de som pro que o aluno te ouça bem, sempre com a câmera aberta, mesmo que o aluno não abre, porque ele não pode, mas que ele te veja, que ele sinta essa aproximação dentro do possível. </v>
      </c>
      <c r="G156" s="22" t="str">
        <f>if(QuotesCheckJudgeAbstract&lt;&gt;"",QuotesCheckJudgeAbstract,if(or(QuotesCheckJudge="",and(QuotesCheckJudge = "primeiro", QuotesCheckChallengeRecommendation1 &lt;&gt; "")), QuotesCheckAbstract1,if(and(QuotesCheckJudge = "segundo", QuotesCheckChallengeRecommendation2 &lt;&gt; ""), QuotesCheckAbstract2,"")))</f>
        <v>Provide a comfortable learning environment for the student, such as remote teaching, which requires adequate audio and video equipment.</v>
      </c>
    </row>
    <row r="157">
      <c r="A157" s="22">
        <f>IFERROR(__xludf.DUMMYFUNCTION("if(or(QuotesCheckJudge="""",and(QuotesCheckJudge = ""primeiro"", QuotesCheckChallengeRecommendation1 &lt;&gt; """"),and(QuotesCheckJudge = ""segundo"", QuotesCheckChallengeRecommendation2 &lt;&gt; """")), filter('Quotes-Check'!A157:D157, 'Quotes-Check'!A157:D157&lt;&gt;""g"&amp;"lugluieie""),"""")"),4.0)</f>
        <v>4</v>
      </c>
      <c r="B157" s="22">
        <f>IFERROR(__xludf.DUMMYFUNCTION("""COMPUTED_VALUE"""),11.0)</f>
        <v>11</v>
      </c>
      <c r="C157" s="40" t="str">
        <f>IFERROR(__xludf.DUMMYFUNCTION("""COMPUTED_VALUE"""),"R1 / R2")</f>
        <v>R1 / R2</v>
      </c>
      <c r="D157" s="22" t="str">
        <f>IFERROR(__xludf.DUMMYFUNCTION("""COMPUTED_VALUE"""),"Pedagogy")</f>
        <v>Pedagogy</v>
      </c>
      <c r="E157" s="46" t="str">
        <f>IFERROR(__xludf.DUMMYFUNCTION("if(or(QuotesCheckJudge="""",and(QuotesCheckJudge = ""primeiro"", QuotesCheckChallengeRecommendation1 &lt;&gt; """")), filter('Quotes-Check'!E157:F157, 'Quotes-Check'!E157:F157&lt;&gt;""glugluieie""),if(and(QuotesCheckJudge = ""segundo"", QuotesCheckChallengeRecommend"&amp;"ation2 &lt;&gt; """"), filter('Quotes-Check'!I157:J157, 'Quotes-Check'!I157:J157&lt;&gt;""glugluieie""),""""))"),"recommendation")</f>
        <v>recommendation</v>
      </c>
      <c r="F157" s="22" t="str">
        <f>IFERROR(__xludf.DUMMYFUNCTION("""COMPUTED_VALUE"""),"dentro da ementa, tentar evitar deixar o aluno dependente daquela stack que você está ensinando. Então, se você vai explicar Jenkins, tire meia hora pra explicar o pipeline em outra ferramenta, pra ele ver que aquilo é possível. Pra que ele não saia com a"&amp;" receita pronta. Por mais que a gente não entregue, o aluno cria na cabeça dele uma receita e ela não vai se encaixar em todos os no dia a dia dele. Daí vai gerar frustração. Então, deixe claro, olha, tá vendo isso que a gente tá fazendo? Estamos fazendo "&amp;"por esse motivo, no Jenkins. Hoje a gente vai usar o Bitbucket, por exemplo, que é dessa maneira que a gente faz. Uma, como exemplo, né?")</f>
        <v>dentro da ementa, tentar evitar deixar o aluno dependente daquela stack que você está ensinando. Então, se você vai explicar Jenkins, tire meia hora pra explicar o pipeline em outra ferramenta, pra ele ver que aquilo é possível. Pra que ele não saia com a receita pronta. Por mais que a gente não entregue, o aluno cria na cabeça dele uma receita e ela não vai se encaixar em todos os no dia a dia dele. Daí vai gerar frustração. Então, deixe claro, olha, tá vendo isso que a gente tá fazendo? Estamos fazendo por esse motivo, no Jenkins. Hoje a gente vai usar o Bitbucket, por exemplo, que é dessa maneira que a gente faz. Uma, como exemplo, né?</v>
      </c>
      <c r="G157" s="22" t="str">
        <f>if(QuotesCheckJudgeAbstract&lt;&gt;"",QuotesCheckJudgeAbstract,if(or(QuotesCheckJudge="",and(QuotesCheckJudge = "primeiro", QuotesCheckChallengeRecommendation1 &lt;&gt; "")), QuotesCheckAbstract1,if(and(QuotesCheckJudge = "segundo", QuotesCheckChallengeRecommendation2 &lt;&gt; ""), QuotesCheckAbstract2,"")))</f>
        <v>Show the student that there are several ways and tools to do the task.</v>
      </c>
    </row>
    <row r="158">
      <c r="A158" s="22">
        <f>IFERROR(__xludf.DUMMYFUNCTION("if(or(QuotesCheckJudge="""",and(QuotesCheckJudge = ""primeiro"", QuotesCheckChallengeRecommendation1 &lt;&gt; """"),and(QuotesCheckJudge = ""segundo"", QuotesCheckChallengeRecommendation2 &lt;&gt; """")), filter('Quotes-Check'!A158:D158, 'Quotes-Check'!A158:D158&lt;&gt;""g"&amp;"lugluieie""),"""")"),4.0)</f>
        <v>4</v>
      </c>
      <c r="B158" s="22">
        <f>IFERROR(__xludf.DUMMYFUNCTION("""COMPUTED_VALUE"""),12.0)</f>
        <v>12</v>
      </c>
      <c r="C158" s="2" t="str">
        <f>IFERROR(__xludf.DUMMYFUNCTION("""COMPUTED_VALUE"""),"R2 / R3")</f>
        <v>R2 / R3</v>
      </c>
      <c r="D158" s="22" t="str">
        <f>IFERROR(__xludf.DUMMYFUNCTION("""COMPUTED_VALUE"""),"Other Challenge and Recommendation")</f>
        <v>Other Challenge and Recommendation</v>
      </c>
      <c r="E158" s="46" t="str">
        <f>IFERROR(__xludf.DUMMYFUNCTION("if(or(QuotesCheckJudge="""",and(QuotesCheckJudge = ""primeiro"", QuotesCheckChallengeRecommendation1 &lt;&gt; """")), filter('Quotes-Check'!E158:F158, 'Quotes-Check'!E158:F158&lt;&gt;""glugluieie""),if(and(QuotesCheckJudge = ""segundo"", QuotesCheckChallengeRecommend"&amp;"ation2 &lt;&gt; """"), filter('Quotes-Check'!I158:J158, 'Quotes-Check'!I158:J158&lt;&gt;""glugluieie""),""""))"),"challenge")</f>
        <v>challenge</v>
      </c>
      <c r="F158" s="22" t="str">
        <f>IFERROR(__xludf.DUMMYFUNCTION("""COMPUTED_VALUE"""),"você conseguir olhar pra todos os alunos é muito difícil, eu entendo porque alguns não podem abrir a câmera. Não tem capacidade ou tecnológica, ou estrutural de abrir, conversar com você. A comunicação é quebrada, por mais que a gente abra o tempo inteiro"&amp;", mesmo que o zoom permita isso. É diferente do dia a dia na sala de aula, porque você não consegue olhar pro aluno e perceber como ele tá reagindo aquele conteúdo. Não que você se adapte só pra um aluno, mas você não tem a percepção pessoal da dúvida. às"&amp;" vezes você consegue olhar pro aluno e falar, opa, eu acho que isso não ficou claro pra ele. Isso é um desafio. ")</f>
        <v>você conseguir olhar pra todos os alunos é muito difícil, eu entendo porque alguns não podem abrir a câmera. Não tem capacidade ou tecnológica, ou estrutural de abrir, conversar com você. A comunicação é quebrada, por mais que a gente abra o tempo inteiro, mesmo que o zoom permita isso. É diferente do dia a dia na sala de aula, porque você não consegue olhar pro aluno e perceber como ele tá reagindo aquele conteúdo. Não que você se adapte só pra um aluno, mas você não tem a percepção pessoal da dúvida. às vezes você consegue olhar pro aluno e falar, opa, eu acho que isso não ficou claro pra ele. Isso é um desafio. </v>
      </c>
      <c r="G158"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in monitoring and keeping in touch with all students effectively during remote learning classes.</v>
      </c>
    </row>
    <row r="159">
      <c r="A159" s="22">
        <f>IFERROR(__xludf.DUMMYFUNCTION("if(or(QuotesCheckJudge="""",and(QuotesCheckJudge = ""primeiro"", QuotesCheckChallengeRecommendation1 &lt;&gt; """"),and(QuotesCheckJudge = ""segundo"", QuotesCheckChallengeRecommendation2 &lt;&gt; """")), filter('Quotes-Check'!A159:D159, 'Quotes-Check'!A159:D159&lt;&gt;""g"&amp;"lugluieie""),"""")"),4.0)</f>
        <v>4</v>
      </c>
      <c r="B159" s="22">
        <f>IFERROR(__xludf.DUMMYFUNCTION("""COMPUTED_VALUE"""),12.0)</f>
        <v>12</v>
      </c>
      <c r="C159" s="2" t="str">
        <f>IFERROR(__xludf.DUMMYFUNCTION("""COMPUTED_VALUE"""),"R2 / R3")</f>
        <v>R2 / R3</v>
      </c>
      <c r="D159" s="22" t="str">
        <f>IFERROR(__xludf.DUMMYFUNCTION("""COMPUTED_VALUE"""),"Other Challenge and Recommendation")</f>
        <v>Other Challenge and Recommendation</v>
      </c>
      <c r="E159" s="46" t="str">
        <f>IFERROR(__xludf.DUMMYFUNCTION("if(or(QuotesCheckJudge="""",and(QuotesCheckJudge = ""primeiro"", QuotesCheckChallengeRecommendation1 &lt;&gt; """")), filter('Quotes-Check'!E159:F159, 'Quotes-Check'!E159:F159&lt;&gt;""glugluieie""),if(and(QuotesCheckJudge = ""segundo"", QuotesCheckChallengeRecommend"&amp;"ation2 &lt;&gt; """"), filter('Quotes-Check'!I159:J159, 'Quotes-Check'!I159:J159&lt;&gt;""glugluieie""),""""))"),"challenge")</f>
        <v>challenge</v>
      </c>
      <c r="F159" s="22" t="str">
        <f>IFERROR(__xludf.DUMMYFUNCTION("""COMPUTED_VALUE"""),"é setar as expectativas na hora dele se inscrever, que não é ferramental o curso inteiro, e que não, a gente não vai usar melhores stacks do mercado")</f>
        <v>é setar as expectativas na hora dele se inscrever, que não é ferramental o curso inteiro, e que não, a gente não vai usar melhores stacks do mercado</v>
      </c>
      <c r="G159"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adjusting students' expectations, as most of them just want to use new tools.</v>
      </c>
    </row>
    <row r="160">
      <c r="A160" s="22">
        <f>IFERROR(__xludf.DUMMYFUNCTION("if(or(QuotesCheckJudge="""",and(QuotesCheckJudge = ""primeiro"", QuotesCheckChallengeRecommendation1 &lt;&gt; """"),and(QuotesCheckJudge = ""segundo"", QuotesCheckChallengeRecommendation2 &lt;&gt; """")), filter('Quotes-Check'!A160:D160, 'Quotes-Check'!A160:D160&lt;&gt;""g"&amp;"lugluieie""),"""")"),5.0)</f>
        <v>5</v>
      </c>
      <c r="B160" s="22">
        <f>IFERROR(__xludf.DUMMYFUNCTION("""COMPUTED_VALUE"""),1.0)</f>
        <v>1</v>
      </c>
      <c r="C160" s="2" t="str">
        <f>IFERROR(__xludf.DUMMYFUNCTION("""COMPUTED_VALUE"""),"R1 / R2")</f>
        <v>R1 / R2</v>
      </c>
      <c r="D160" s="22" t="str">
        <f>IFERROR(__xludf.DUMMYFUNCTION("""COMPUTED_VALUE"""),"General Challenges and Recommendations")</f>
        <v>General Challenges and Recommendations</v>
      </c>
      <c r="E160" s="46" t="str">
        <f>IFERROR(__xludf.DUMMYFUNCTION("if(or(QuotesCheckJudge="""",and(QuotesCheckJudge = ""primeiro"", QuotesCheckChallengeRecommendation1 &lt;&gt; """")), filter('Quotes-Check'!E160:F160, 'Quotes-Check'!E160:F160&lt;&gt;""glugluieie""),if(and(QuotesCheckJudge = ""segundo"", QuotesCheckChallengeRecommend"&amp;"ation2 &lt;&gt; """"), filter('Quotes-Check'!I160:J160, 'Quotes-Check'!I160:J160&lt;&gt;""glugluieie""),""""))"),"challenge")</f>
        <v>challenge</v>
      </c>
      <c r="F160" s="22" t="str">
        <f>IFERROR(__xludf.DUMMYFUNCTION("""COMPUTED_VALUE"""),"Em ambas as turmas que eu dei [...] houve um desafio de [...] heterogeneidade da turma. você tem gente que é muito proficiente em desenvolvimento e não tem nem ideia da parte de servidor, linux e de configuração de ambiente, de ferramentas, [...] do outro"&amp;" espectro. Pessoas que vieram do operacional, System admin mesmo não tem tanta proficiência na parte de programação, de código. ")</f>
        <v>Em ambas as turmas que eu dei [...] houve um desafio de [...] heterogeneidade da turma. você tem gente que é muito proficiente em desenvolvimento e não tem nem ideia da parte de servidor, linux e de configuração de ambiente, de ferramentas, [...] do outro espectro. Pessoas que vieram do operacional, System admin mesmo não tem tanta proficiência na parte de programação, de código. </v>
      </c>
      <c r="G160"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in preparing classes with students at different levels of proficiency in development and operation.</v>
      </c>
    </row>
    <row r="161">
      <c r="A161" s="22">
        <f>IFERROR(__xludf.DUMMYFUNCTION("if(or(QuotesCheckJudge="""",and(QuotesCheckJudge = ""primeiro"", QuotesCheckChallengeRecommendation1 &lt;&gt; """"),and(QuotesCheckJudge = ""segundo"", QuotesCheckChallengeRecommendation2 &lt;&gt; """")), filter('Quotes-Check'!A161:D161, 'Quotes-Check'!A161:D161&lt;&gt;""g"&amp;"lugluieie""),"""")"),5.0)</f>
        <v>5</v>
      </c>
      <c r="B161" s="22">
        <f>IFERROR(__xludf.DUMMYFUNCTION("""COMPUTED_VALUE"""),1.0)</f>
        <v>1</v>
      </c>
      <c r="C161" s="40" t="str">
        <f>IFERROR(__xludf.DUMMYFUNCTION("""COMPUTED_VALUE"""),"R1 / R2")</f>
        <v>R1 / R2</v>
      </c>
      <c r="D161" s="22" t="str">
        <f>IFERROR(__xludf.DUMMYFUNCTION("""COMPUTED_VALUE"""),"General Challenges and Recommendations")</f>
        <v>General Challenges and Recommendations</v>
      </c>
      <c r="E161" s="46" t="str">
        <f>IFERROR(__xludf.DUMMYFUNCTION("if(or(QuotesCheckJudge="""",and(QuotesCheckJudge = ""primeiro"", QuotesCheckChallengeRecommendation1 &lt;&gt; """")), filter('Quotes-Check'!E161:F161, 'Quotes-Check'!E161:F161&lt;&gt;""glugluieie""),if(and(QuotesCheckJudge = ""segundo"", QuotesCheckChallengeRecommend"&amp;"ation2 &lt;&gt; """"), filter('Quotes-Check'!I161:J161, 'Quotes-Check'!I161:J161&lt;&gt;""glugluieie""),""""))"),"recommendation")</f>
        <v>recommendation</v>
      </c>
      <c r="F161" s="22" t="str">
        <f>IFERROR(__xludf.DUMMYFUNCTION("""COMPUTED_VALUE"""),"se você vai dar uma aula de build de software, por exemplo, ou de teste unitário você precisa assumir que a sua turma, você precisa assumir que a sua turma tá num certo local, vamos dizer assim. Você precisa assumir que a sua turma é composta por desenvol"&amp;"vedores, tem um pouquinho de conhecimento e tal, ou você precisa partir do princípio que a sua turma não tem tanta experiência assim. ")</f>
        <v>se você vai dar uma aula de build de software, por exemplo, ou de teste unitário você precisa assumir que a sua turma, você precisa assumir que a sua turma tá num certo local, vamos dizer assim. Você precisa assumir que a sua turma é composta por desenvolvedores, tem um pouquinho de conhecimento e tal, ou você precisa partir do princípio que a sua turma não tem tanta experiência assim. </v>
      </c>
      <c r="G161" s="22" t="str">
        <f>if(QuotesCheckJudgeAbstract&lt;&gt;"",QuotesCheckJudgeAbstract,if(or(QuotesCheckJudge="",and(QuotesCheckJudge = "primeiro", QuotesCheckChallengeRecommendation1 &lt;&gt; "")), QuotesCheckAbstract1,if(and(QuotesCheckJudge = "segundo", QuotesCheckChallengeRecommendation2 &lt;&gt; ""), QuotesCheckAbstract2,"")))</f>
        <v>Identify the students' initial level of knowledge to do the course. For example, check if students can run unit tests that will be used in the software build class.</v>
      </c>
    </row>
    <row r="162">
      <c r="A162" s="22">
        <f>IFERROR(__xludf.DUMMYFUNCTION("if(or(QuotesCheckJudge="""",and(QuotesCheckJudge = ""primeiro"", QuotesCheckChallengeRecommendation1 &lt;&gt; """"),and(QuotesCheckJudge = ""segundo"", QuotesCheckChallengeRecommendation2 &lt;&gt; """")), filter('Quotes-Check'!A162:D162, 'Quotes-Check'!A162:D162&lt;&gt;""g"&amp;"lugluieie""),"""")"),5.0)</f>
        <v>5</v>
      </c>
      <c r="B162" s="22">
        <f>IFERROR(__xludf.DUMMYFUNCTION("""COMPUTED_VALUE"""),2.0)</f>
        <v>2</v>
      </c>
      <c r="C162" s="40" t="str">
        <f>IFERROR(__xludf.DUMMYFUNCTION("""COMPUTED_VALUE"""),"R2 / R3")</f>
        <v>R2 / R3</v>
      </c>
      <c r="D162" s="22" t="str">
        <f>IFERROR(__xludf.DUMMYFUNCTION("""COMPUTED_VALUE"""),"General Challenges and Recommendations")</f>
        <v>General Challenges and Recommendations</v>
      </c>
      <c r="E162" s="46" t="str">
        <f>IFERROR(__xludf.DUMMYFUNCTION("if(or(QuotesCheckJudge="""",and(QuotesCheckJudge = ""primeiro"", QuotesCheckChallengeRecommendation1 &lt;&gt; """")), filter('Quotes-Check'!E162:F162, 'Quotes-Check'!E162:F162&lt;&gt;""glugluieie""),if(and(QuotesCheckJudge = ""segundo"", QuotesCheckChallengeRecommend"&amp;"ation2 &lt;&gt; """"), filter('Quotes-Check'!I162:J162, 'Quotes-Check'!I162:J162&lt;&gt;""glugluieie""),""""))"),"recommendation")</f>
        <v>recommendation</v>
      </c>
      <c r="F162" s="22" t="str">
        <f>IFERROR(__xludf.DUMMYFUNCTION("""COMPUTED_VALUE"""),"eu não consigo enxergar uma disciplina, um ensino de DevOps que não seja hands-on [...] Que não seja botando a mão na massa e fazendo as pessoas pelo menos exercitarem as ferramentas.")</f>
        <v>eu não consigo enxergar uma disciplina, um ensino de DevOps que não seja hands-on [...] Que não seja botando a mão na massa e fazendo as pessoas pelo menos exercitarem as ferramentas.</v>
      </c>
      <c r="G162" s="22" t="str">
        <f>if(QuotesCheckJudgeAbstract&lt;&gt;"",QuotesCheckJudgeAbstract,if(or(QuotesCheckJudge="",and(QuotesCheckJudge = "primeiro", QuotesCheckChallengeRecommendation1 &lt;&gt; "")), QuotesCheckAbstract1,if(and(QuotesCheckJudge = "segundo", QuotesCheckChallengeRecommendation2 &lt;&gt; ""), QuotesCheckAbstract2,"")))</f>
        <v>DevOps disciplines should use hands-on activities.</v>
      </c>
    </row>
    <row r="163">
      <c r="A163" s="22">
        <f>IFERROR(__xludf.DUMMYFUNCTION("if(or(QuotesCheckJudge="""",and(QuotesCheckJudge = ""primeiro"", QuotesCheckChallengeRecommendation1 &lt;&gt; """"),and(QuotesCheckJudge = ""segundo"", QuotesCheckChallengeRecommendation2 &lt;&gt; """")), filter('Quotes-Check'!A163:D163, 'Quotes-Check'!A163:D163&lt;&gt;""g"&amp;"lugluieie""),"""")"),5.0)</f>
        <v>5</v>
      </c>
      <c r="B163" s="22">
        <f>IFERROR(__xludf.DUMMYFUNCTION("""COMPUTED_VALUE"""),2.0)</f>
        <v>2</v>
      </c>
      <c r="C163" s="2" t="str">
        <f>IFERROR(__xludf.DUMMYFUNCTION("""COMPUTED_VALUE"""),"R2 / R3")</f>
        <v>R2 / R3</v>
      </c>
      <c r="D163" s="22" t="str">
        <f>IFERROR(__xludf.DUMMYFUNCTION("""COMPUTED_VALUE"""),"General Challenges and Recommendations")</f>
        <v>General Challenges and Recommendations</v>
      </c>
      <c r="E163" s="46" t="str">
        <f>IFERROR(__xludf.DUMMYFUNCTION("if(or(QuotesCheckJudge="""",and(QuotesCheckJudge = ""primeiro"", QuotesCheckChallengeRecommendation1 &lt;&gt; """")), filter('Quotes-Check'!E163:F163, 'Quotes-Check'!E163:F163&lt;&gt;""glugluieie""),if(and(QuotesCheckJudge = ""segundo"", QuotesCheckChallengeRecommend"&amp;"ation2 &lt;&gt; """"), filter('Quotes-Check'!I163:J163, 'Quotes-Check'!I163:J163&lt;&gt;""glugluieie""),""""))"),"challenge")</f>
        <v>challenge</v>
      </c>
      <c r="F163" s="22" t="str">
        <f>IFERROR(__xludf.DUMMYFUNCTION("""COMPUTED_VALUE"""),"a falta de proficiência de alguns alunos, em alguns critérios disso, acaba dificultando essa prática.")</f>
        <v>a falta de proficiência de alguns alunos, em alguns critérios disso, acaba dificultando essa prática.</v>
      </c>
      <c r="G163" s="22" t="str">
        <f>if(QuotesCheckJudgeAbstract&lt;&gt;"",QuotesCheckJudgeAbstract,if(or(QuotesCheckJudge="",and(QuotesCheckJudge = "primeiro", QuotesCheckChallengeRecommendation1 &lt;&gt; "")), QuotesCheckAbstract1,if(and(QuotesCheckJudge = "segundo", QuotesCheckChallengeRecommendation2 &lt;&gt; ""), QuotesCheckAbstract2,"")))</f>
        <v>Students' previous lack of knowledge makes learning difficult.</v>
      </c>
    </row>
    <row r="164">
      <c r="A164" s="22">
        <f>IFERROR(__xludf.DUMMYFUNCTION("if(or(QuotesCheckJudge="""",and(QuotesCheckJudge = ""primeiro"", QuotesCheckChallengeRecommendation1 &lt;&gt; """"),and(QuotesCheckJudge = ""segundo"", QuotesCheckChallengeRecommendation2 &lt;&gt; """")), filter('Quotes-Check'!A164:D164, 'Quotes-Check'!A164:D164&lt;&gt;""g"&amp;"lugluieie""),"""")"),5.0)</f>
        <v>5</v>
      </c>
      <c r="B164" s="22">
        <f>IFERROR(__xludf.DUMMYFUNCTION("""COMPUTED_VALUE"""),2.0)</f>
        <v>2</v>
      </c>
      <c r="C164" s="40" t="str">
        <f>IFERROR(__xludf.DUMMYFUNCTION("""COMPUTED_VALUE"""),"R2 / R3")</f>
        <v>R2 / R3</v>
      </c>
      <c r="D164" s="22" t="str">
        <f>IFERROR(__xludf.DUMMYFUNCTION("""COMPUTED_VALUE"""),"General Challenges and Recommendations")</f>
        <v>General Challenges and Recommendations</v>
      </c>
      <c r="E164" s="46" t="str">
        <f>IFERROR(__xludf.DUMMYFUNCTION("if(or(QuotesCheckJudge="""",and(QuotesCheckJudge = ""primeiro"", QuotesCheckChallengeRecommendation1 &lt;&gt; """")), filter('Quotes-Check'!E164:F164, 'Quotes-Check'!E164:F164&lt;&gt;""glugluieie""),if(and(QuotesCheckJudge = ""segundo"", QuotesCheckChallengeRecommend"&amp;"ation2 &lt;&gt; """"), filter('Quotes-Check'!I164:J164, 'Quotes-Check'!I164:J164&lt;&gt;""glugluieie""),""""))"),"recommendation")</f>
        <v>recommendation</v>
      </c>
      <c r="F164" s="22" t="str">
        <f>IFERROR(__xludf.DUMMYFUNCTION("""COMPUTED_VALUE"""),"eu peço pros alunos implementarem um sisteminha muito simples, que ele vai servir pra disciplina inteira. Nesse sisteminha, a gente vai ter teste, vai ter build, vai ter integração contínua, vai ter deployment, sabe?")</f>
        <v>eu peço pros alunos implementarem um sisteminha muito simples, que ele vai servir pra disciplina inteira. Nesse sisteminha, a gente vai ter teste, vai ter build, vai ter integração contínua, vai ter deployment, sabe?</v>
      </c>
      <c r="G164" s="22" t="str">
        <f>if(QuotesCheckJudgeAbstract&lt;&gt;"",QuotesCheckJudgeAbstract,if(or(QuotesCheckJudge="",and(QuotesCheckJudge = "primeiro", QuotesCheckChallengeRecommendation1 &lt;&gt; "")), QuotesCheckAbstract1,if(and(QuotesCheckJudge = "segundo", QuotesCheckChallengeRecommendation2 &lt;&gt; ""), QuotesCheckAbstract2,"")))</f>
        <v>Use a simple example system made by students.</v>
      </c>
    </row>
    <row r="165">
      <c r="A165" s="22">
        <f>IFERROR(__xludf.DUMMYFUNCTION("if(or(QuotesCheckJudge="""",and(QuotesCheckJudge = ""primeiro"", QuotesCheckChallengeRecommendation1 &lt;&gt; """"),and(QuotesCheckJudge = ""segundo"", QuotesCheckChallengeRecommendation2 &lt;&gt; """")), filter('Quotes-Check'!A165:D165, 'Quotes-Check'!A165:D165&lt;&gt;""g"&amp;"lugluieie""),"""")"),5.0)</f>
        <v>5</v>
      </c>
      <c r="B165" s="22">
        <f>IFERROR(__xludf.DUMMYFUNCTION("""COMPUTED_VALUE"""),2.0)</f>
        <v>2</v>
      </c>
      <c r="C165" s="2" t="str">
        <f>IFERROR(__xludf.DUMMYFUNCTION("""COMPUTED_VALUE"""),"R2 / R3")</f>
        <v>R2 / R3</v>
      </c>
      <c r="D165" s="22" t="str">
        <f>IFERROR(__xludf.DUMMYFUNCTION("""COMPUTED_VALUE"""),"General Challenges and Recommendations")</f>
        <v>General Challenges and Recommendations</v>
      </c>
      <c r="E165" s="46" t="str">
        <f>IFERROR(__xludf.DUMMYFUNCTION("if(or(QuotesCheckJudge="""",and(QuotesCheckJudge = ""primeiro"", QuotesCheckChallengeRecommendation1 &lt;&gt; """")), filter('Quotes-Check'!E165:F165, 'Quotes-Check'!E165:F165&lt;&gt;""glugluieie""),if(and(QuotesCheckJudge = ""segundo"", QuotesCheckChallengeRecommend"&amp;"ation2 &lt;&gt; """"), filter('Quotes-Check'!I165:J165, 'Quotes-Check'!I165:J165&lt;&gt;""glugluieie""),""""))"),"challenge")</f>
        <v>challenge</v>
      </c>
      <c r="F165" s="22" t="str">
        <f>IFERROR(__xludf.DUMMYFUNCTION("""COMPUTED_VALUE"""),"Ainda tem esse desafio de entender essas ferramentas, ambiente, rede, configuração, sabe? Então, acho que um desafio traz o outro, certo? Eu diria que esse é um desafio, também.
")</f>
        <v>Ainda tem esse desafio de entender essas ferramentas, ambiente, rede, configuração, sabe? Então, acho que um desafio traz o outro, certo? Eu diria que esse é um desafio, também.
</v>
      </c>
      <c r="G165"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in understanding environment, tools and network configuration.</v>
      </c>
    </row>
    <row r="166">
      <c r="A166" s="22">
        <f>IFERROR(__xludf.DUMMYFUNCTION("if(or(QuotesCheckJudge="""",and(QuotesCheckJudge = ""primeiro"", QuotesCheckChallengeRecommendation1 &lt;&gt; """"),and(QuotesCheckJudge = ""segundo"", QuotesCheckChallengeRecommendation2 &lt;&gt; """")), filter('Quotes-Check'!A166:D166, 'Quotes-Check'!A166:D166&lt;&gt;""g"&amp;"lugluieie""),"""")"),5.0)</f>
        <v>5</v>
      </c>
      <c r="B166" s="22">
        <f>IFERROR(__xludf.DUMMYFUNCTION("""COMPUTED_VALUE"""),2.0)</f>
        <v>2</v>
      </c>
      <c r="C166" s="40" t="str">
        <f>IFERROR(__xludf.DUMMYFUNCTION("""COMPUTED_VALUE"""),"R2 / R3")</f>
        <v>R2 / R3</v>
      </c>
      <c r="D166" s="22" t="str">
        <f>IFERROR(__xludf.DUMMYFUNCTION("""COMPUTED_VALUE"""),"General Challenges and Recommendations")</f>
        <v>General Challenges and Recommendations</v>
      </c>
      <c r="E166" s="46" t="str">
        <f>IFERROR(__xludf.DUMMYFUNCTION("if(or(QuotesCheckJudge="""",and(QuotesCheckJudge = ""primeiro"", QuotesCheckChallengeRecommendation1 &lt;&gt; """")), filter('Quotes-Check'!E166:F166, 'Quotes-Check'!E166:F166&lt;&gt;""glugluieie""),if(and(QuotesCheckJudge = ""segundo"", QuotesCheckChallengeRecommend"&amp;"ation2 &lt;&gt; """"), filter('Quotes-Check'!I166:J166, 'Quotes-Check'!I166:J166&lt;&gt;""glugluieie""),""""))"),"recommendation")</f>
        <v>recommendation</v>
      </c>
      <c r="F166" s="22" t="str">
        <f>IFERROR(__xludf.DUMMYFUNCTION("""COMPUTED_VALUE"""),"O ponto é tentar exercitar o máximo de ferramentas possíveis para prover para todo mundo  [...] uma gama de coisas que você pode aplicar no seu dia a dia quando você vê a necessidade. ")</f>
        <v>O ponto é tentar exercitar o máximo de ferramentas possíveis para prover para todo mundo  [...] uma gama de coisas que você pode aplicar no seu dia a dia quando você vê a necessidade. </v>
      </c>
      <c r="G166" s="22" t="str">
        <f>if(QuotesCheckJudgeAbstract&lt;&gt;"",QuotesCheckJudgeAbstract,if(or(QuotesCheckJudge="",and(QuotesCheckJudge = "primeiro", QuotesCheckChallengeRecommendation1 &lt;&gt; "")), QuotesCheckAbstract1,if(and(QuotesCheckJudge = "segundo", QuotesCheckChallengeRecommendation2 &lt;&gt; ""), QuotesCheckAbstract2,"")))</f>
        <v>Exercise as many tools as possible.</v>
      </c>
    </row>
    <row r="167">
      <c r="A167" s="22">
        <f>IFERROR(__xludf.DUMMYFUNCTION("if(or(QuotesCheckJudge="""",and(QuotesCheckJudge = ""primeiro"", QuotesCheckChallengeRecommendation1 &lt;&gt; """"),and(QuotesCheckJudge = ""segundo"", QuotesCheckChallengeRecommendation2 &lt;&gt; """")), filter('Quotes-Check'!A167:D167, 'Quotes-Check'!A167:D167&lt;&gt;""g"&amp;"lugluieie""),"""")"),5.0)</f>
        <v>5</v>
      </c>
      <c r="B167" s="22">
        <f>IFERROR(__xludf.DUMMYFUNCTION("""COMPUTED_VALUE"""),3.0)</f>
        <v>3</v>
      </c>
      <c r="C167" s="2" t="str">
        <f>IFERROR(__xludf.DUMMYFUNCTION("""COMPUTED_VALUE"""),"R1 / R3")</f>
        <v>R1 / R3</v>
      </c>
      <c r="D167" s="22" t="str">
        <f>IFERROR(__xludf.DUMMYFUNCTION("""COMPUTED_VALUE"""),"General Challenges and Recommendations")</f>
        <v>General Challenges and Recommendations</v>
      </c>
      <c r="E167" s="46" t="str">
        <f>IFERROR(__xludf.DUMMYFUNCTION("if(or(QuotesCheckJudge="""",and(QuotesCheckJudge = ""primeiro"", QuotesCheckChallengeRecommendation1 &lt;&gt; """")), filter('Quotes-Check'!E167:F167, 'Quotes-Check'!E167:F167&lt;&gt;""glugluieie""),if(and(QuotesCheckJudge = ""segundo"", QuotesCheckChallengeRecommend"&amp;"ation2 &lt;&gt; """"), filter('Quotes-Check'!I167:J167, 'Quotes-Check'!I167:J167&lt;&gt;""glugluieie""),""""))"),"challenge")</f>
        <v>challenge</v>
      </c>
      <c r="F167" s="22" t="str">
        <f>IFERROR(__xludf.DUMMYFUNCTION("""COMPUTED_VALUE"""),"é uma disciplina que não existe definição, assim, não existe livro texto base, não exite algo totalmente acordado entre a comunidade do que é, quando é aplicado e tal. ")</f>
        <v>é uma disciplina que não existe definição, assim, não existe livro texto base, não exite algo totalmente acordado entre a comunidade do que é, quando é aplicado e tal. </v>
      </c>
      <c r="G167" s="22" t="str">
        <f>if(QuotesCheckJudgeAbstract&lt;&gt;"",QuotesCheckJudgeAbstract,if(or(QuotesCheckJudge="",and(QuotesCheckJudge = "primeiro", QuotesCheckChallengeRecommendation1 &lt;&gt; "")), QuotesCheckAbstract1,if(and(QuotesCheckJudge = "segundo", QuotesCheckChallengeRecommendation2 &lt;&gt; ""), QuotesCheckAbstract2,"")))</f>
        <v>There is no fully agreed community base text.</v>
      </c>
    </row>
    <row r="168">
      <c r="A168" s="22">
        <f>IFERROR(__xludf.DUMMYFUNCTION("if(or(QuotesCheckJudge="""",and(QuotesCheckJudge = ""primeiro"", QuotesCheckChallengeRecommendation1 &lt;&gt; """"),and(QuotesCheckJudge = ""segundo"", QuotesCheckChallengeRecommendation2 &lt;&gt; """")), filter('Quotes-Check'!A168:D168, 'Quotes-Check'!A168:D168&lt;&gt;""g"&amp;"lugluieie""),"""")"),5.0)</f>
        <v>5</v>
      </c>
      <c r="B168" s="22">
        <f>IFERROR(__xludf.DUMMYFUNCTION("""COMPUTED_VALUE"""),3.0)</f>
        <v>3</v>
      </c>
      <c r="C168" s="2" t="str">
        <f>IFERROR(__xludf.DUMMYFUNCTION("""COMPUTED_VALUE"""),"R1 / R3")</f>
        <v>R1 / R3</v>
      </c>
      <c r="D168" s="22" t="str">
        <f>IFERROR(__xludf.DUMMYFUNCTION("""COMPUTED_VALUE"""),"General Challenges and Recommendations")</f>
        <v>General Challenges and Recommendations</v>
      </c>
      <c r="E168" s="46" t="str">
        <f>IFERROR(__xludf.DUMMYFUNCTION("if(or(QuotesCheckJudge="""",and(QuotesCheckJudge = ""primeiro"", QuotesCheckChallengeRecommendation1 &lt;&gt; """")), filter('Quotes-Check'!E168:F168, 'Quotes-Check'!E168:F168&lt;&gt;""glugluieie""),if(and(QuotesCheckJudge = ""segundo"", QuotesCheckChallengeRecommend"&amp;"ation2 &lt;&gt; """"), filter('Quotes-Check'!I168:J168, 'Quotes-Check'!I168:J168&lt;&gt;""glugluieie""),""""))"),"challenge")</f>
        <v>challenge</v>
      </c>
      <c r="F168" s="22" t="str">
        <f>IFERROR(__xludf.DUMMYFUNCTION("""COMPUTED_VALUE"""),"a preparação do curso é bem difícil [...] não vai ter tanto paper assim, artigo, porque é muito novo. 
 ")</f>
        <v>a preparação do curso é bem difícil [...] não vai ter tanto paper assim, artigo, porque é muito novo. 
 </v>
      </c>
      <c r="G168" s="22" t="str">
        <f>if(QuotesCheckJudgeAbstract&lt;&gt;"",QuotesCheckJudgeAbstract,if(or(QuotesCheckJudge="",and(QuotesCheckJudge = "primeiro", QuotesCheckChallengeRecommendation1 &lt;&gt; "")), QuotesCheckAbstract1,if(and(QuotesCheckJudge = "segundo", QuotesCheckChallengeRecommendation2 &lt;&gt; ""), QuotesCheckAbstract2,"")))</f>
        <v>There are not so many scientific articles on which to base course preparation.</v>
      </c>
    </row>
    <row r="169">
      <c r="A169" s="22">
        <f>IFERROR(__xludf.DUMMYFUNCTION("if(or(QuotesCheckJudge="""",and(QuotesCheckJudge = ""primeiro"", QuotesCheckChallengeRecommendation1 &lt;&gt; """"),and(QuotesCheckJudge = ""segundo"", QuotesCheckChallengeRecommendation2 &lt;&gt; """")), filter('Quotes-Check'!A169:D169, 'Quotes-Check'!A169:D169&lt;&gt;""g"&amp;"lugluieie""),"""")"),5.0)</f>
        <v>5</v>
      </c>
      <c r="B169" s="22">
        <f>IFERROR(__xludf.DUMMYFUNCTION("""COMPUTED_VALUE"""),3.0)</f>
        <v>3</v>
      </c>
      <c r="C169" s="40" t="str">
        <f>IFERROR(__xludf.DUMMYFUNCTION("""COMPUTED_VALUE"""),"R1 / R3")</f>
        <v>R1 / R3</v>
      </c>
      <c r="D169" s="22" t="str">
        <f>IFERROR(__xludf.DUMMYFUNCTION("""COMPUTED_VALUE"""),"General Challenges and Recommendations")</f>
        <v>General Challenges and Recommendations</v>
      </c>
      <c r="E169" s="46" t="str">
        <f>IFERROR(__xludf.DUMMYFUNCTION("if(or(QuotesCheckJudge="""",and(QuotesCheckJudge = ""primeiro"", QuotesCheckChallengeRecommendation1 &lt;&gt; """")), filter('Quotes-Check'!E169:F169, 'Quotes-Check'!E169:F169&lt;&gt;""glugluieie""),if(and(QuotesCheckJudge = ""segundo"", QuotesCheckChallengeRecommend"&amp;"ation2 &lt;&gt; """"), filter('Quotes-Check'!I169:J169, 'Quotes-Check'!I169:J169&lt;&gt;""glugluieie""),""""))"),"recommendation")</f>
        <v>recommendation</v>
      </c>
      <c r="F169" s="22" t="str">
        <f>IFERROR(__xludf.DUMMYFUNCTION("""COMPUTED_VALUE"""),"porque você tem que tá com a mentalidade que você vai ter que pegar materiais de diversas fontes diferentes, né? ... você vai ter que recorrer à literatura cinza, né, que é essa literatura de blog, do médium, o blogue do Nubank ou do Netflix, que são arti"&amp;"gos sensacionais, mas que não tem aquele rigor científico, de revisão de pares e tal. Então, assim, eu acho que o professor de DevOps, ele precisa entender que ele tá nesse ambiente, né?")</f>
        <v>porque você tem que tá com a mentalidade que você vai ter que pegar materiais de diversas fontes diferentes, né? ... você vai ter que recorrer à literatura cinza, né, que é essa literatura de blog, do médium, o blogue do Nubank ou do Netflix, que são artigos sensacionais, mas que não tem aquele rigor científico, de revisão de pares e tal. Então, assim, eu acho que o professor de DevOps, ele precisa entender que ele tá nesse ambiente, né?</v>
      </c>
      <c r="G169" s="22" t="str">
        <f>if(QuotesCheckJudgeAbstract&lt;&gt;"",QuotesCheckJudgeAbstract,if(or(QuotesCheckJudge="",and(QuotesCheckJudge = "primeiro", QuotesCheckChallengeRecommendation1 &lt;&gt; "")), QuotesCheckAbstract1,if(and(QuotesCheckJudge = "segundo", QuotesCheckChallengeRecommendation2 &lt;&gt; ""), QuotesCheckAbstract2,"")))</f>
        <v>Use various sources of DevOps study materials, such as gray literature, blog (medium, Nubank, Netflix).</v>
      </c>
    </row>
    <row r="170">
      <c r="A170" s="22">
        <f>IFERROR(__xludf.DUMMYFUNCTION("if(or(QuotesCheckJudge="""",and(QuotesCheckJudge = ""primeiro"", QuotesCheckChallengeRecommendation1 &lt;&gt; """"),and(QuotesCheckJudge = ""segundo"", QuotesCheckChallengeRecommendation2 &lt;&gt; """")), filter('Quotes-Check'!A170:D170, 'Quotes-Check'!A170:D170&lt;&gt;""g"&amp;"lugluieie""),"""")"),5.0)</f>
        <v>5</v>
      </c>
      <c r="B170" s="22">
        <f>IFERROR(__xludf.DUMMYFUNCTION("""COMPUTED_VALUE"""),4.0)</f>
        <v>4</v>
      </c>
      <c r="C170" s="40" t="str">
        <f>IFERROR(__xludf.DUMMYFUNCTION("""COMPUTED_VALUE"""),"R1 / R3")</f>
        <v>R1 / R3</v>
      </c>
      <c r="D170" s="22" t="str">
        <f>IFERROR(__xludf.DUMMYFUNCTION("""COMPUTED_VALUE"""),"General Challenges and Recommendations")</f>
        <v>General Challenges and Recommendations</v>
      </c>
      <c r="E170" s="46" t="str">
        <f>IFERROR(__xludf.DUMMYFUNCTION("if(or(QuotesCheckJudge="""",and(QuotesCheckJudge = ""primeiro"", QuotesCheckChallengeRecommendation1 &lt;&gt; """")), filter('Quotes-Check'!E170:F170, 'Quotes-Check'!E170:F170&lt;&gt;""glugluieie""),if(and(QuotesCheckJudge = ""segundo"", QuotesCheckChallengeRecommend"&amp;"ation2 &lt;&gt; """"), filter('Quotes-Check'!I170:J170, 'Quotes-Check'!I170:J170&lt;&gt;""glugluieie""),""""))"),"recommendation")</f>
        <v>recommendation</v>
      </c>
      <c r="F170" s="22" t="str">
        <f>IFERROR(__xludf.DUMMYFUNCTION("""COMPUTED_VALUE"""),"Essa parte do sistema, que eu peço pra eles fazerem para acompanhar a disciplina, [...] Eu tô pensando seriamente na ideia de simplesmente de dar um sistema pra eles")</f>
        <v>Essa parte do sistema, que eu peço pra eles fazerem para acompanhar a disciplina, [...] Eu tô pensando seriamente na ideia de simplesmente de dar um sistema pra eles</v>
      </c>
      <c r="G170" s="22" t="str">
        <f>if(QuotesCheckJudgeAbstract&lt;&gt;"",QuotesCheckJudgeAbstract,if(or(QuotesCheckJudge="",and(QuotesCheckJudge = "primeiro", QuotesCheckChallengeRecommendation1 &lt;&gt; "")), QuotesCheckAbstract1,if(and(QuotesCheckJudge = "segundo", QuotesCheckChallengeRecommendation2 &lt;&gt; ""), QuotesCheckAbstract2,"")))</f>
        <v>Deliver a ready-made sample system for students to use.</v>
      </c>
    </row>
    <row r="171">
      <c r="A171" s="22">
        <f>IFERROR(__xludf.DUMMYFUNCTION("if(or(QuotesCheckJudge="""",and(QuotesCheckJudge = ""primeiro"", QuotesCheckChallengeRecommendation1 &lt;&gt; """"),and(QuotesCheckJudge = ""segundo"", QuotesCheckChallengeRecommendation2 &lt;&gt; """")), filter('Quotes-Check'!A171:D171, 'Quotes-Check'!A171:D171&lt;&gt;""g"&amp;"lugluieie""),"""")"),5.0)</f>
        <v>5</v>
      </c>
      <c r="B171" s="22">
        <f>IFERROR(__xludf.DUMMYFUNCTION("""COMPUTED_VALUE"""),4.0)</f>
        <v>4</v>
      </c>
      <c r="C171" s="40" t="str">
        <f>IFERROR(__xludf.DUMMYFUNCTION("""COMPUTED_VALUE"""),"R1 / R3")</f>
        <v>R1 / R3</v>
      </c>
      <c r="D171" s="22" t="str">
        <f>IFERROR(__xludf.DUMMYFUNCTION("""COMPUTED_VALUE"""),"General Challenges and Recommendations")</f>
        <v>General Challenges and Recommendations</v>
      </c>
      <c r="E171" s="46" t="str">
        <f>IFERROR(__xludf.DUMMYFUNCTION("if(or(QuotesCheckJudge="""",and(QuotesCheckJudge = ""primeiro"", QuotesCheckChallengeRecommendation1 &lt;&gt; """")), filter('Quotes-Check'!E171:F171, 'Quotes-Check'!E171:F171&lt;&gt;""glugluieie""),if(and(QuotesCheckJudge = ""segundo"", QuotesCheckChallengeRecommend"&amp;"ation2 &lt;&gt; """"), filter('Quotes-Check'!I171:J171, 'Quotes-Check'!I171:J171&lt;&gt;""glugluieie""),""""))"),"recommendation")</f>
        <v>recommendation</v>
      </c>
      <c r="F171" s="22" t="str">
        <f>IFERROR(__xludf.DUMMYFUNCTION("""COMPUTED_VALUE"""),"Essa parte do sistema, que eu peço pra eles fazerem para acompanhar a disciplina [...] Quando você vai configurar as ferramentas e tal, como você foi quem desenvolveu o sistema, fica mais fácil, acredito eu de você entender todas as automações e tal, mas "&amp;"ao mesmo tempo eu vejo que a galera tem muita dificuldade em fazer.")</f>
        <v>Essa parte do sistema, que eu peço pra eles fazerem para acompanhar a disciplina [...] Quando você vai configurar as ferramentas e tal, como você foi quem desenvolveu o sistema, fica mais fácil, acredito eu de você entender todas as automações e tal, mas ao mesmo tempo eu vejo que a galera tem muita dificuldade em fazer.</v>
      </c>
      <c r="G171" s="22" t="str">
        <f>if(QuotesCheckJudgeAbstract&lt;&gt;"",QuotesCheckJudgeAbstract,if(or(QuotesCheckJudge="",and(QuotesCheckJudge = "primeiro", QuotesCheckChallengeRecommendation1 &lt;&gt; "")), QuotesCheckAbstract1,if(and(QuotesCheckJudge = "segundo", QuotesCheckChallengeRecommendation2 &lt;&gt; ""), QuotesCheckAbstract2,"")))</f>
        <v>Students build their own systems during the course in order to increase their understanding of automation.</v>
      </c>
    </row>
    <row r="172">
      <c r="A172" s="22">
        <f>IFERROR(__xludf.DUMMYFUNCTION("if(or(QuotesCheckJudge="""",and(QuotesCheckJudge = ""primeiro"", QuotesCheckChallengeRecommendation1 &lt;&gt; """"),and(QuotesCheckJudge = ""segundo"", QuotesCheckChallengeRecommendation2 &lt;&gt; """")), filter('Quotes-Check'!A172:D172, 'Quotes-Check'!A172:D172&lt;&gt;""g"&amp;"lugluieie""),"""")"),5.0)</f>
        <v>5</v>
      </c>
      <c r="B172" s="22">
        <f>IFERROR(__xludf.DUMMYFUNCTION("""COMPUTED_VALUE"""),4.0)</f>
        <v>4</v>
      </c>
      <c r="C172" s="2" t="str">
        <f>IFERROR(__xludf.DUMMYFUNCTION("""COMPUTED_VALUE"""),"R1 / R3")</f>
        <v>R1 / R3</v>
      </c>
      <c r="D172" s="22" t="str">
        <f>IFERROR(__xludf.DUMMYFUNCTION("""COMPUTED_VALUE"""),"General Challenges and Recommendations")</f>
        <v>General Challenges and Recommendations</v>
      </c>
      <c r="E172" s="46" t="str">
        <f>IFERROR(__xludf.DUMMYFUNCTION("if(or(QuotesCheckJudge="""",and(QuotesCheckJudge = ""primeiro"", QuotesCheckChallengeRecommendation1 &lt;&gt; """")), filter('Quotes-Check'!E172:F172, 'Quotes-Check'!E172:F172&lt;&gt;""glugluieie""),if(and(QuotesCheckJudge = ""segundo"", QuotesCheckChallengeRecommend"&amp;"ation2 &lt;&gt; """"), filter('Quotes-Check'!I172:J172, 'Quotes-Check'!I172:J172&lt;&gt;""glugluieie""),""""))"),"challenge")</f>
        <v>challenge</v>
      </c>
      <c r="F172" s="22" t="str">
        <f>IFERROR(__xludf.DUMMYFUNCTION("""COMPUTED_VALUE"""),"Quando você vai configurar as ferramentas e tal, como você foi quem desenvolveu o sistema, fica mais fácil, acredito eu de você entender todas as automações e tal, mas ao mesmo tempo eu vejo que a galera tem muita dificuldade em fazer. ")</f>
        <v>Quando você vai configurar as ferramentas e tal, como você foi quem desenvolveu o sistema, fica mais fácil, acredito eu de você entender todas as automações e tal, mas ao mesmo tempo eu vejo que a galera tem muita dificuldade em fazer. </v>
      </c>
      <c r="G172" s="22" t="str">
        <f>if(QuotesCheckJudgeAbstract&lt;&gt;"",QuotesCheckJudgeAbstract,if(or(QuotesCheckJudge="",and(QuotesCheckJudge = "primeiro", QuotesCheckChallengeRecommendation1 &lt;&gt; "")), QuotesCheckAbstract1,if(and(QuotesCheckJudge = "segundo", QuotesCheckChallengeRecommendation2 &lt;&gt; ""), QuotesCheckAbstract2,"")))</f>
        <v>There is difficulty for students to carry out the automation of the construction of systems used during the course.</v>
      </c>
    </row>
    <row r="173">
      <c r="A173" s="22">
        <f>IFERROR(__xludf.DUMMYFUNCTION("if(or(QuotesCheckJudge="""",and(QuotesCheckJudge = ""primeiro"", QuotesCheckChallengeRecommendation1 &lt;&gt; """"),and(QuotesCheckJudge = ""segundo"", QuotesCheckChallengeRecommendation2 &lt;&gt; """")), filter('Quotes-Check'!A173:D173, 'Quotes-Check'!A173:D173&lt;&gt;""g"&amp;"lugluieie""),"""")"),5.0)</f>
        <v>5</v>
      </c>
      <c r="B173" s="22">
        <f>IFERROR(__xludf.DUMMYFUNCTION("""COMPUTED_VALUE"""),4.0)</f>
        <v>4</v>
      </c>
      <c r="C173" s="2" t="str">
        <f>IFERROR(__xludf.DUMMYFUNCTION("""COMPUTED_VALUE"""),"R1 / R3")</f>
        <v>R1 / R3</v>
      </c>
      <c r="D173" s="22" t="str">
        <f>IFERROR(__xludf.DUMMYFUNCTION("""COMPUTED_VALUE"""),"General Challenges and Recommendations")</f>
        <v>General Challenges and Recommendations</v>
      </c>
      <c r="E173" s="46" t="str">
        <f>IFERROR(__xludf.DUMMYFUNCTION("if(or(QuotesCheckJudge="""",and(QuotesCheckJudge = ""primeiro"", QuotesCheckChallengeRecommendation1 &lt;&gt; """")), filter('Quotes-Check'!E173:F173, 'Quotes-Check'!E173:F173&lt;&gt;""glugluieie""),if(and(QuotesCheckJudge = ""segundo"", QuotesCheckChallengeRecommend"&amp;"ation2 &lt;&gt; """"), filter('Quotes-Check'!I173:J173, 'Quotes-Check'!I173:J173&lt;&gt;""glugluieie""),""""))"),"challenge")</f>
        <v>challenge</v>
      </c>
      <c r="F173" s="22" t="str">
        <f>IFERROR(__xludf.DUMMYFUNCTION("""COMPUTED_VALUE"""),"essa parte do sistema, que eu peço pra eles fazerem para acompanhar a disciplina, [...] tá, eu vou dar um sistema, vai ser um sistema open source? Eu também eh, sabe? Já que eu posso dar um sistema, vamos usar um sistema de verdade, que não seja algo de b"&amp;"rincadeira. Então, tipo, eu penso num grande sistema open souce aí, que tenha teste, tenha uma porrada de coisa, tenha integração contínua e tenha não sei o que, e que você consiga selecionar a bateria de teste que vai ser usado em cada canto, sabe?")</f>
        <v>essa parte do sistema, que eu peço pra eles fazerem para acompanhar a disciplina, [...] tá, eu vou dar um sistema, vai ser um sistema open source? Eu também eh, sabe? Já que eu posso dar um sistema, vamos usar um sistema de verdade, que não seja algo de brincadeira. Então, tipo, eu penso num grande sistema open souce aí, que tenha teste, tenha uma porrada de coisa, tenha integração contínua e tenha não sei o que, e que você consiga selecionar a bateria de teste que vai ser usado em cada canto, sabe?</v>
      </c>
      <c r="G173"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selecting an example system realistic enough for students to use during the course.</v>
      </c>
    </row>
    <row r="174">
      <c r="A174" s="22">
        <f>IFERROR(__xludf.DUMMYFUNCTION("if(or(QuotesCheckJudge="""",and(QuotesCheckJudge = ""primeiro"", QuotesCheckChallengeRecommendation1 &lt;&gt; """"),and(QuotesCheckJudge = ""segundo"", QuotesCheckChallengeRecommendation2 &lt;&gt; """")), filter('Quotes-Check'!A174:D174, 'Quotes-Check'!A174:D174&lt;&gt;""g"&amp;"lugluieie""),"""")"),5.0)</f>
        <v>5</v>
      </c>
      <c r="B174" s="22">
        <f>IFERROR(__xludf.DUMMYFUNCTION("""COMPUTED_VALUE"""),5.0)</f>
        <v>5</v>
      </c>
      <c r="C174" s="40" t="str">
        <f>IFERROR(__xludf.DUMMYFUNCTION("""COMPUTED_VALUE"""),"R1 / R3")</f>
        <v>R1 / R3</v>
      </c>
      <c r="D174" s="22" t="str">
        <f>IFERROR(__xludf.DUMMYFUNCTION("""COMPUTED_VALUE"""),"General Challenges and Recommendations")</f>
        <v>General Challenges and Recommendations</v>
      </c>
      <c r="E174" s="46" t="str">
        <f>IFERROR(__xludf.DUMMYFUNCTION("if(or(QuotesCheckJudge="""",and(QuotesCheckJudge = ""primeiro"", QuotesCheckChallengeRecommendation1 &lt;&gt; """")), filter('Quotes-Check'!E174:F174, 'Quotes-Check'!E174:F174&lt;&gt;""glugluieie""),if(and(QuotesCheckJudge = ""segundo"", QuotesCheckChallengeRecommend"&amp;"ation2 &lt;&gt; """"), filter('Quotes-Check'!I174:J174, 'Quotes-Check'!I174:J174&lt;&gt;""glugluieie""),""""))"),"recommendation")</f>
        <v>recommendation</v>
      </c>
      <c r="F174" s="22" t="str">
        <f>IFERROR(__xludf.DUMMYFUNCTION("""COMPUTED_VALUE"""),"se eu fizer esse sistema, eu posso passar pro pessoal de forma bem mais simples, né? Como é que fazem as coisas e tal")</f>
        <v>se eu fizer esse sistema, eu posso passar pro pessoal de forma bem mais simples, né? Como é que fazem as coisas e tal</v>
      </c>
      <c r="G174" s="22" t="str">
        <f>if(QuotesCheckJudgeAbstract&lt;&gt;"",QuotesCheckJudgeAbstract,if(or(QuotesCheckJudge="",and(QuotesCheckJudge = "primeiro", QuotesCheckChallengeRecommendation1 &lt;&gt; "")), QuotesCheckAbstract1,if(and(QuotesCheckJudge = "segundo", QuotesCheckChallengeRecommendation2 &lt;&gt; ""), QuotesCheckAbstract2,"")))</f>
        <v>Using an example system designed by the teacher will give more confidence in supporting students during the course.</v>
      </c>
    </row>
    <row r="175">
      <c r="A175" s="22">
        <f>IFERROR(__xludf.DUMMYFUNCTION("if(or(QuotesCheckJudge="""",and(QuotesCheckJudge = ""primeiro"", QuotesCheckChallengeRecommendation1 &lt;&gt; """"),and(QuotesCheckJudge = ""segundo"", QuotesCheckChallengeRecommendation2 &lt;&gt; """")), filter('Quotes-Check'!A175:D175, 'Quotes-Check'!A175:D175&lt;&gt;""g"&amp;"lugluieie""),"""")"),5.0)</f>
        <v>5</v>
      </c>
      <c r="B175" s="22">
        <f>IFERROR(__xludf.DUMMYFUNCTION("""COMPUTED_VALUE"""),5.0)</f>
        <v>5</v>
      </c>
      <c r="C175" s="2" t="str">
        <f>IFERROR(__xludf.DUMMYFUNCTION("""COMPUTED_VALUE"""),"R1 / R3")</f>
        <v>R1 / R3</v>
      </c>
      <c r="D175" s="22" t="str">
        <f>IFERROR(__xludf.DUMMYFUNCTION("""COMPUTED_VALUE"""),"General Challenges and Recommendations")</f>
        <v>General Challenges and Recommendations</v>
      </c>
      <c r="E175" s="46" t="str">
        <f>IFERROR(__xludf.DUMMYFUNCTION("if(or(QuotesCheckJudge="""",and(QuotesCheckJudge = ""primeiro"", QuotesCheckChallengeRecommendation1 &lt;&gt; """")), filter('Quotes-Check'!E175:F175, 'Quotes-Check'!E175:F175&lt;&gt;""glugluieie""),if(and(QuotesCheckJudge = ""segundo"", QuotesCheckChallengeRecommend"&amp;"ation2 &lt;&gt; """"), filter('Quotes-Check'!I175:J175, 'Quotes-Check'!I175:J175&lt;&gt;""glugluieie""),""""))"),"challenge")</f>
        <v>challenge</v>
      </c>
      <c r="F175" s="22" t="str">
        <f>IFERROR(__xludf.DUMMYFUNCTION("""COMPUTED_VALUE"""),"Assim, porque aí, se eu fizer esse sistema, eu posso passar pro pessoal de forma bem mais simples, né? Como é que fazem as coisas e tal, mas aí a gente sabe também que tem os desafios, né? Poxa, isso não é tão simples assim, será que eu vou ter tempo pra "&amp;"fazer, né? ")</f>
        <v>Assim, porque aí, se eu fizer esse sistema, eu posso passar pro pessoal de forma bem mais simples, né? Como é que fazem as coisas e tal, mas aí a gente sabe também que tem os desafios, né? Poxa, isso não é tão simples assim, será que eu vou ter tempo pra fazer, né? </v>
      </c>
      <c r="G175" s="22" t="str">
        <f>if(QuotesCheckJudgeAbstract&lt;&gt;"",QuotesCheckJudgeAbstract,if(or(QuotesCheckJudge="",and(QuotesCheckJudge = "primeiro", QuotesCheckChallengeRecommendation1 &lt;&gt; "")), QuotesCheckAbstract1,if(and(QuotesCheckJudge = "segundo", QuotesCheckChallengeRecommendation2 &lt;&gt; ""), QuotesCheckAbstract2,"")))</f>
        <v>Lack of time for teachers to develop a ready-made and well-crafted example system.</v>
      </c>
    </row>
    <row r="176">
      <c r="A176" s="22">
        <f>IFERROR(__xludf.DUMMYFUNCTION("if(or(QuotesCheckJudge="""",and(QuotesCheckJudge = ""primeiro"", QuotesCheckChallengeRecommendation1 &lt;&gt; """"),and(QuotesCheckJudge = ""segundo"", QuotesCheckChallengeRecommendation2 &lt;&gt; """")), filter('Quotes-Check'!A176:D176, 'Quotes-Check'!A176:D176&lt;&gt;""g"&amp;"lugluieie""),"""")"),5.0)</f>
        <v>5</v>
      </c>
      <c r="B176" s="22">
        <f>IFERROR(__xludf.DUMMYFUNCTION("""COMPUTED_VALUE"""),5.0)</f>
        <v>5</v>
      </c>
      <c r="C176" s="2" t="str">
        <f>IFERROR(__xludf.DUMMYFUNCTION("""COMPUTED_VALUE"""),"R1 / R3")</f>
        <v>R1 / R3</v>
      </c>
      <c r="D176" s="22" t="str">
        <f>IFERROR(__xludf.DUMMYFUNCTION("""COMPUTED_VALUE"""),"General Challenges and Recommendations")</f>
        <v>General Challenges and Recommendations</v>
      </c>
      <c r="E176" s="46" t="str">
        <f>IFERROR(__xludf.DUMMYFUNCTION("if(or(QuotesCheckJudge="""",and(QuotesCheckJudge = ""primeiro"", QuotesCheckChallengeRecommendation1 &lt;&gt; """")), filter('Quotes-Check'!E176:F176, 'Quotes-Check'!E176:F176&lt;&gt;""glugluieie""),if(and(QuotesCheckJudge = ""segundo"", QuotesCheckChallengeRecommend"&amp;"ation2 &lt;&gt; """"), filter('Quotes-Check'!I176:J176, 'Quotes-Check'!I176:J176&lt;&gt;""glugluieie""),""""))"),"challenge")</f>
        <v>challenge</v>
      </c>
      <c r="F176" s="22" t="str">
        <f>IFERROR(__xludf.DUMMYFUNCTION("""COMPUTED_VALUE"""),"se eu fizer esse sistema [...]  Nós, professores, às vezes, não somos os programadores mais proficientes que existem, então talvez o que a gente escreva, não seja de acordo com o que tá rolando no mercado hoje. ")</f>
        <v>se eu fizer esse sistema [...]  Nós, professores, às vezes, não somos os programadores mais proficientes que existem, então talvez o que a gente escreva, não seja de acordo com o que tá rolando no mercado hoje. </v>
      </c>
      <c r="G176"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for teachers to keep up with the state of the art in the industry.</v>
      </c>
    </row>
    <row r="177">
      <c r="A177" s="22">
        <f>IFERROR(__xludf.DUMMYFUNCTION("if(or(QuotesCheckJudge="""",and(QuotesCheckJudge = ""primeiro"", QuotesCheckChallengeRecommendation1 &lt;&gt; """"),and(QuotesCheckJudge = ""segundo"", QuotesCheckChallengeRecommendation2 &lt;&gt; """")), filter('Quotes-Check'!A177:D177, 'Quotes-Check'!A177:D177&lt;&gt;""g"&amp;"lugluieie""),"""")"),5.0)</f>
        <v>5</v>
      </c>
      <c r="B177" s="22">
        <f>IFERROR(__xludf.DUMMYFUNCTION("""COMPUTED_VALUE"""),6.0)</f>
        <v>6</v>
      </c>
      <c r="C177" s="2" t="str">
        <f>IFERROR(__xludf.DUMMYFUNCTION("""COMPUTED_VALUE"""),"R1 / R2")</f>
        <v>R1 / R2</v>
      </c>
      <c r="D177" s="22" t="str">
        <f>IFERROR(__xludf.DUMMYFUNCTION("""COMPUTED_VALUE"""),"Environment Setup")</f>
        <v>Environment Setup</v>
      </c>
      <c r="E177" s="46" t="str">
        <f>IFERROR(__xludf.DUMMYFUNCTION("if(or(QuotesCheckJudge="""",and(QuotesCheckJudge = ""primeiro"", QuotesCheckChallengeRecommendation1 &lt;&gt; """")), filter('Quotes-Check'!E177:F177, 'Quotes-Check'!E177:F177&lt;&gt;""glugluieie""),if(and(QuotesCheckJudge = ""segundo"", QuotesCheckChallengeRecommend"&amp;"ation2 &lt;&gt; """"), filter('Quotes-Check'!I177:J177, 'Quotes-Check'!I177:J177&lt;&gt;""glugluieie""),""""))"),"challenge")</f>
        <v>challenge</v>
      </c>
      <c r="F177" s="22" t="str">
        <f>IFERROR(__xludf.DUMMYFUNCTION("""COMPUTED_VALUE"""),"[...] acabou que muita gente fez em [...] diferentes ambientes [...] pra gente, professor, muitas vezes a gente não tem proficiência em todos esses  ")</f>
        <v>[...] acabou que muita gente fez em [...] diferentes ambientes [...] pra gente, professor, muitas vezes a gente não tem proficiência em todos esses  </v>
      </c>
      <c r="G177"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supporting the use of several different tools and environments at the same time.</v>
      </c>
    </row>
    <row r="178">
      <c r="A178" s="22">
        <f>IFERROR(__xludf.DUMMYFUNCTION("if(or(QuotesCheckJudge="""",and(QuotesCheckJudge = ""primeiro"", QuotesCheckChallengeRecommendation1 &lt;&gt; """"),and(QuotesCheckJudge = ""segundo"", QuotesCheckChallengeRecommendation2 &lt;&gt; """")), filter('Quotes-Check'!A178:D178, 'Quotes-Check'!A178:D178&lt;&gt;""g"&amp;"lugluieie""),"""")"),5.0)</f>
        <v>5</v>
      </c>
      <c r="B178" s="22">
        <f>IFERROR(__xludf.DUMMYFUNCTION("""COMPUTED_VALUE"""),6.0)</f>
        <v>6</v>
      </c>
      <c r="C178" s="40" t="str">
        <f>IFERROR(__xludf.DUMMYFUNCTION("""COMPUTED_VALUE"""),"R1 / R2")</f>
        <v>R1 / R2</v>
      </c>
      <c r="D178" s="22" t="str">
        <f>IFERROR(__xludf.DUMMYFUNCTION("""COMPUTED_VALUE"""),"Environment Setup")</f>
        <v>Environment Setup</v>
      </c>
      <c r="E178" s="46" t="str">
        <f>IFERROR(__xludf.DUMMYFUNCTION("if(or(QuotesCheckJudge="""",and(QuotesCheckJudge = ""primeiro"", QuotesCheckChallengeRecommendation1 &lt;&gt; """")), filter('Quotes-Check'!E178:F178, 'Quotes-Check'!E178:F178&lt;&gt;""glugluieie""),if(and(QuotesCheckJudge = ""segundo"", QuotesCheckChallengeRecommend"&amp;"ation2 &lt;&gt; """"), filter('Quotes-Check'!I178:J178, 'Quotes-Check'!I178:J178&lt;&gt;""glugluieie""),""""))"),"recommendation")</f>
        <v>recommendation</v>
      </c>
      <c r="F178" s="22" t="str">
        <f>IFERROR(__xludf.DUMMYFUNCTION("""COMPUTED_VALUE"""),"eles diziam: professor, eu posso fazer na linguagem tal, eu posso na plataforma tal, eu posso fazer assim? [...] Então, não vou dizer que houveram, sei lá, seis, sete, diferentes ambientes, né? Que teve mas vamos botar aí uns dois ou três, né, diferentes."&amp;" Então, aí pra gente, professor, muitas vezes a gente não tem proficiência em todos esses, né? Então, aí a pessoa vai ter que tirar uma dúvida, aí você fala: pô, eu não sei. Assim, você decidiu fazer isso aí, meio que dá seus pulo, assim, sabe? O máximo q"&amp;"ue a gente pode fazer é tentar passar os conceitos, né? E quando a pessoa tá com uma dúvida muito grande assim, você fala, rapaz, tenta me explicar aí como é que é essa tecnologia aí que tu tá usando, pra ver se eu consigo, pelo menos, fazer aqui uma trad"&amp;"ução das coisas que eu já sei, pra isso aí")</f>
        <v>eles diziam: professor, eu posso fazer na linguagem tal, eu posso na plataforma tal, eu posso fazer assim? [...] Então, não vou dizer que houveram, sei lá, seis, sete, diferentes ambientes, né? Que teve mas vamos botar aí uns dois ou três, né, diferentes. Então, aí pra gente, professor, muitas vezes a gente não tem proficiência em todos esses, né? Então, aí a pessoa vai ter que tirar uma dúvida, aí você fala: pô, eu não sei. Assim, você decidiu fazer isso aí, meio que dá seus pulo, assim, sabe? O máximo que a gente pode fazer é tentar passar os conceitos, né? E quando a pessoa tá com uma dúvida muito grande assim, você fala, rapaz, tenta me explicar aí como é que é essa tecnologia aí que tu tá usando, pra ver se eu consigo, pelo menos, fazer aqui uma tradução das coisas que eu já sei, pra isso aí</v>
      </c>
      <c r="G178" s="22" t="str">
        <f>if(QuotesCheckJudgeAbstract&lt;&gt;"",QuotesCheckJudgeAbstract,if(or(QuotesCheckJudge="",and(QuotesCheckJudge = "primeiro", QuotesCheckChallengeRecommendation1 &lt;&gt; "")), QuotesCheckAbstract1,if(and(QuotesCheckJudge = "segundo", QuotesCheckChallengeRecommendation2 &lt;&gt; ""), QuotesCheckAbstract2,"")))</f>
        <v>Teach in a way that knowledge can be applied in different tools, but not focus on the possible specific problems of each technology.</v>
      </c>
    </row>
    <row r="179">
      <c r="A179" s="22">
        <f>IFERROR(__xludf.DUMMYFUNCTION("if(or(QuotesCheckJudge="""",and(QuotesCheckJudge = ""primeiro"", QuotesCheckChallengeRecommendation1 &lt;&gt; """"),and(QuotesCheckJudge = ""segundo"", QuotesCheckChallengeRecommendation2 &lt;&gt; """")), filter('Quotes-Check'!A179:D179, 'Quotes-Check'!A179:D179&lt;&gt;""g"&amp;"lugluieie""),"""")"),5.0)</f>
        <v>5</v>
      </c>
      <c r="B179" s="22">
        <f>IFERROR(__xludf.DUMMYFUNCTION("""COMPUTED_VALUE"""),7.0)</f>
        <v>7</v>
      </c>
      <c r="C179" s="40" t="str">
        <f>IFERROR(__xludf.DUMMYFUNCTION("""COMPUTED_VALUE"""),"R2 / R3")</f>
        <v>R2 / R3</v>
      </c>
      <c r="D179" s="22" t="str">
        <f>IFERROR(__xludf.DUMMYFUNCTION("""COMPUTED_VALUE"""),"Environment Setup")</f>
        <v>Environment Setup</v>
      </c>
      <c r="E179" s="46" t="str">
        <f>IFERROR(__xludf.DUMMYFUNCTION("if(or(QuotesCheckJudge="""",and(QuotesCheckJudge = ""primeiro"", QuotesCheckChallengeRecommendation1 &lt;&gt; """")), filter('Quotes-Check'!E179:F179, 'Quotes-Check'!E179:F179&lt;&gt;""glugluieie""),if(and(QuotesCheckJudge = ""segundo"", QuotesCheckChallengeRecommend"&amp;"ation2 &lt;&gt; """"), filter('Quotes-Check'!I179:J179, 'Quotes-Check'!I179:J179&lt;&gt;""glugluieie""),""""))"),"recommendation")</f>
        <v>recommendation</v>
      </c>
      <c r="F179" s="22" t="str">
        <f>IFERROR(__xludf.DUMMYFUNCTION("""COMPUTED_VALUE"""),"talvez faça sentido você prover o ambiente pros alunos, certo? E esse prover, você pode usar um docker da vida, que já vem tudo pronto, né? ")</f>
        <v>talvez faça sentido você prover o ambiente pros alunos, certo? E esse prover, você pode usar um docker da vida, que já vem tudo pronto, né? </v>
      </c>
      <c r="G179" s="22" t="str">
        <f>if(QuotesCheckJudgeAbstract&lt;&gt;"",QuotesCheckJudgeAbstract,if(or(QuotesCheckJudge="",and(QuotesCheckJudge = "primeiro", QuotesCheckChallengeRecommendation1 &lt;&gt; "")), QuotesCheckAbstract1,if(and(QuotesCheckJudge = "segundo", QuotesCheckChallengeRecommendation2 &lt;&gt; ""), QuotesCheckAbstract2,"")))</f>
        <v>Provide initial environment setup for students.</v>
      </c>
    </row>
    <row r="180">
      <c r="A180" s="22">
        <f>IFERROR(__xludf.DUMMYFUNCTION("if(or(QuotesCheckJudge="""",and(QuotesCheckJudge = ""primeiro"", QuotesCheckChallengeRecommendation1 &lt;&gt; """"),and(QuotesCheckJudge = ""segundo"", QuotesCheckChallengeRecommendation2 &lt;&gt; """")), filter('Quotes-Check'!A180:D180, 'Quotes-Check'!A180:D180&lt;&gt;""g"&amp;"lugluieie""),"""")"),5.0)</f>
        <v>5</v>
      </c>
      <c r="B180" s="22">
        <f>IFERROR(__xludf.DUMMYFUNCTION("""COMPUTED_VALUE"""),7.0)</f>
        <v>7</v>
      </c>
      <c r="C180" s="2" t="str">
        <f>IFERROR(__xludf.DUMMYFUNCTION("""COMPUTED_VALUE"""),"R2 / R3")</f>
        <v>R2 / R3</v>
      </c>
      <c r="D180" s="22" t="str">
        <f>IFERROR(__xludf.DUMMYFUNCTION("""COMPUTED_VALUE"""),"Environment Setup")</f>
        <v>Environment Setup</v>
      </c>
      <c r="E180" s="46" t="str">
        <f>IFERROR(__xludf.DUMMYFUNCTION("if(or(QuotesCheckJudge="""",and(QuotesCheckJudge = ""primeiro"", QuotesCheckChallengeRecommendation1 &lt;&gt; """")), filter('Quotes-Check'!E180:F180, 'Quotes-Check'!E180:F180&lt;&gt;""glugluieie""),if(and(QuotesCheckJudge = ""segundo"", QuotesCheckChallengeRecommend"&amp;"ation2 &lt;&gt; """"), filter('Quotes-Check'!I180:J180, 'Quotes-Check'!I180:J180&lt;&gt;""glugluieie""),""""))"),"challenge")</f>
        <v>challenge</v>
      </c>
      <c r="F180" s="22" t="str">
        <f>IFERROR(__xludf.DUMMYFUNCTION("""COMPUTED_VALUE"""),"Aí o rapaz vai numa semana só já vai ter o seu ambiente inteiro montado, né? Mas, isso gera desafios também, né? Que vai ter dificuldade pra fazer isso e tal. ")</f>
        <v>Aí o rapaz vai numa semana só já vai ter o seu ambiente inteiro montado, né? Mas, isso gera desafios também, né? Que vai ter dificuldade pra fazer isso e tal. </v>
      </c>
      <c r="G180" s="22" t="str">
        <f>if(QuotesCheckJudgeAbstract&lt;&gt;"",QuotesCheckJudgeAbstract,if(or(QuotesCheckJudge="",and(QuotesCheckJudge = "primeiro", QuotesCheckChallengeRecommendation1 &lt;&gt; "")), QuotesCheckAbstract1,if(and(QuotesCheckJudge = "segundo", QuotesCheckChallengeRecommendation2 &lt;&gt; ""), QuotesCheckAbstract2,"")))</f>
        <v>A lot of time preparing the initial environment setup of students.</v>
      </c>
    </row>
    <row r="181">
      <c r="A181" s="22">
        <f>IFERROR(__xludf.DUMMYFUNCTION("if(or(QuotesCheckJudge="""",and(QuotesCheckJudge = ""primeiro"", QuotesCheckChallengeRecommendation1 &lt;&gt; """"),and(QuotesCheckJudge = ""segundo"", QuotesCheckChallengeRecommendation2 &lt;&gt; """")), filter('Quotes-Check'!A181:D181, 'Quotes-Check'!A181:D181&lt;&gt;""g"&amp;"lugluieie""),"""")"),5.0)</f>
        <v>5</v>
      </c>
      <c r="B181" s="22">
        <f>IFERROR(__xludf.DUMMYFUNCTION("""COMPUTED_VALUE"""),9.0)</f>
        <v>9</v>
      </c>
      <c r="C181" s="2" t="str">
        <f>IFERROR(__xludf.DUMMYFUNCTION("""COMPUTED_VALUE"""),"R1 / R3")</f>
        <v>R1 / R3</v>
      </c>
      <c r="D181" s="22" t="str">
        <f>IFERROR(__xludf.DUMMYFUNCTION("""COMPUTED_VALUE"""),"Class Preparation")</f>
        <v>Class Preparation</v>
      </c>
      <c r="E181" s="46" t="str">
        <f>IFERROR(__xludf.DUMMYFUNCTION("if(or(QuotesCheckJudge="""",and(QuotesCheckJudge = ""primeiro"", QuotesCheckChallengeRecommendation1 &lt;&gt; """")), filter('Quotes-Check'!E181:F181, 'Quotes-Check'!E181:F181&lt;&gt;""glugluieie""),if(and(QuotesCheckJudge = ""segundo"", QuotesCheckChallengeRecommend"&amp;"ation2 &lt;&gt; """"), filter('Quotes-Check'!I181:J181, 'Quotes-Check'!I181:J181&lt;&gt;""glugluieie""),""""))"),"challenge")</f>
        <v>challenge</v>
      </c>
      <c r="F181" s="22" t="str">
        <f>IFERROR(__xludf.DUMMYFUNCTION("""COMPUTED_VALUE"""),"Heterogeneidade de material, é o maior desafio. É você ter que montar uma aula costurando as fontes, né?")</f>
        <v>Heterogeneidade de material, é o maior desafio. É você ter que montar uma aula costurando as fontes, né?</v>
      </c>
      <c r="G181" s="22" t="str">
        <f>if(QuotesCheckJudgeAbstract&lt;&gt;"",QuotesCheckJudgeAbstract,if(or(QuotesCheckJudge="",and(QuotesCheckJudge = "primeiro", QuotesCheckChallengeRecommendation1 &lt;&gt; "")), QuotesCheckAbstract1,if(and(QuotesCheckJudge = "segundo", QuotesCheckChallengeRecommendation2 &lt;&gt; ""), QuotesCheckAbstract2,"")))</f>
        <v>There is no unified material for teaching DevOps.</v>
      </c>
    </row>
    <row r="182">
      <c r="A182" s="22">
        <f>IFERROR(__xludf.DUMMYFUNCTION("if(or(QuotesCheckJudge="""",and(QuotesCheckJudge = ""primeiro"", QuotesCheckChallengeRecommendation1 &lt;&gt; """"),and(QuotesCheckJudge = ""segundo"", QuotesCheckChallengeRecommendation2 &lt;&gt; """")), filter('Quotes-Check'!A182:D182, 'Quotes-Check'!A182:D182&lt;&gt;""g"&amp;"lugluieie""),"""")"),5.0)</f>
        <v>5</v>
      </c>
      <c r="B182" s="22">
        <f>IFERROR(__xludf.DUMMYFUNCTION("""COMPUTED_VALUE"""),9.0)</f>
        <v>9</v>
      </c>
      <c r="C182" s="40" t="str">
        <f>IFERROR(__xludf.DUMMYFUNCTION("""COMPUTED_VALUE"""),"R1 / R3")</f>
        <v>R1 / R3</v>
      </c>
      <c r="D182" s="22" t="str">
        <f>IFERROR(__xludf.DUMMYFUNCTION("""COMPUTED_VALUE"""),"Class Preparation")</f>
        <v>Class Preparation</v>
      </c>
      <c r="E182" s="46" t="str">
        <f>IFERROR(__xludf.DUMMYFUNCTION("if(or(QuotesCheckJudge="""",and(QuotesCheckJudge = ""primeiro"", QuotesCheckChallengeRecommendation1 &lt;&gt; """")), filter('Quotes-Check'!E182:F182, 'Quotes-Check'!E182:F182&lt;&gt;""glugluieie""),if(and(QuotesCheckJudge = ""segundo"", QuotesCheckChallengeRecommend"&amp;"ation2 &lt;&gt; """"), filter('Quotes-Check'!I182:J182, 'Quotes-Check'!I182:J182&lt;&gt;""glugluieie""),""""))"),"recommendation")</f>
        <v>recommendation</v>
      </c>
      <c r="F182" s="22" t="str">
        <f>IFERROR(__xludf.DUMMYFUNCTION("""COMPUTED_VALUE"""),"Heterogeneidade de material, é o maior desafio [...] você ter que montar uma aula costurando as fontes. Então, às vezes, eu, por exemplo, na minha disciplina de integração eu tenho que dar vários conceitos, né? Pra você falar de integração contínua, você "&amp;"precisa falar de controle de versão, você precisa falar de build, você precisa falar de teste, são várias coisas que fazem parte da integração contínua, né? Então, o gitflow não tá no livro, sabe? Branch, modelos de desenvolvimento, isso não tá no livro. ")</f>
        <v>Heterogeneidade de material, é o maior desafio [...] você ter que montar uma aula costurando as fontes. Então, às vezes, eu, por exemplo, na minha disciplina de integração eu tenho que dar vários conceitos, né? Pra você falar de integração contínua, você precisa falar de controle de versão, você precisa falar de build, você precisa falar de teste, são várias coisas que fazem parte da integração contínua, né? Então, o gitflow não tá no livro, sabe? Branch, modelos de desenvolvimento, isso não tá no livro. </v>
      </c>
      <c r="G182" s="22" t="str">
        <f>if(QuotesCheckJudgeAbstract&lt;&gt;"",QuotesCheckJudgeAbstract,if(or(QuotesCheckJudge="",and(QuotesCheckJudge = "primeiro", QuotesCheckChallengeRecommendation1 &lt;&gt; "")), QuotesCheckAbstract1,if(and(QuotesCheckJudge = "segundo", QuotesCheckChallengeRecommendation2 &lt;&gt; ""), QuotesCheckAbstract2,"")))</f>
        <v>It is necessary to make use of several sources when creating the course.</v>
      </c>
    </row>
    <row r="183">
      <c r="A183" s="22">
        <f>IFERROR(__xludf.DUMMYFUNCTION("if(or(QuotesCheckJudge="""",and(QuotesCheckJudge = ""primeiro"", QuotesCheckChallengeRecommendation1 &lt;&gt; """"),and(QuotesCheckJudge = ""segundo"", QuotesCheckChallengeRecommendation2 &lt;&gt; """")), filter('Quotes-Check'!A183:D183, 'Quotes-Check'!A183:D183&lt;&gt;""g"&amp;"lugluieie""),"""")"),5.0)</f>
        <v>5</v>
      </c>
      <c r="B183" s="22">
        <f>IFERROR(__xludf.DUMMYFUNCTION("""COMPUTED_VALUE"""),9.0)</f>
        <v>9</v>
      </c>
      <c r="C183" s="40" t="str">
        <f>IFERROR(__xludf.DUMMYFUNCTION("""COMPUTED_VALUE"""),"R1 / R3")</f>
        <v>R1 / R3</v>
      </c>
      <c r="D183" s="22" t="str">
        <f>IFERROR(__xludf.DUMMYFUNCTION("""COMPUTED_VALUE"""),"Class Preparation")</f>
        <v>Class Preparation</v>
      </c>
      <c r="E183" s="46" t="str">
        <f>IFERROR(__xludf.DUMMYFUNCTION("if(or(QuotesCheckJudge="""",and(QuotesCheckJudge = ""primeiro"", QuotesCheckChallengeRecommendation1 &lt;&gt; """")), filter('Quotes-Check'!E183:F183, 'Quotes-Check'!E183:F183&lt;&gt;""glugluieie""),if(and(QuotesCheckJudge = ""segundo"", QuotesCheckChallengeRecommend"&amp;"ation2 &lt;&gt; """"), filter('Quotes-Check'!I183:J183, 'Quotes-Check'!I183:J183&lt;&gt;""glugluieie""),""""))"),"recommendation")</f>
        <v>recommendation</v>
      </c>
      <c r="F183" s="22" t="str">
        <f>IFERROR(__xludf.DUMMYFUNCTION("""COMPUTED_VALUE"""),"você precisa falar de controle de versão, você precisa falar de build, você precisa falar de teste, são várias coisas que fazem parte da integração contínua, né? Então, o gitflow não tá no livro, sabe? Branch, modelos de desenvolvimento, isso não tá no li"&amp;"vro. Aí você já começa a ir pros blogs e tal, sabe? Aí, você vai falar de teste de software, teste de software, se você foi um livro de engenharia de software, essa parte de teste é extremamente fraca, assim, é extremamente conceitual, não tem nada. Aí, v"&amp;"ocê já pode pegar os artigos. ")</f>
        <v>você precisa falar de controle de versão, você precisa falar de build, você precisa falar de teste, são várias coisas que fazem parte da integração contínua, né? Então, o gitflow não tá no livro, sabe? Branch, modelos de desenvolvimento, isso não tá no livro. Aí você já começa a ir pros blogs e tal, sabe? Aí, você vai falar de teste de software, teste de software, se você foi um livro de engenharia de software, essa parte de teste é extremamente fraca, assim, é extremamente conceitual, não tem nada. Aí, você já pode pegar os artigos. </v>
      </c>
      <c r="G183" s="22" t="str">
        <f>if(QuotesCheckJudgeAbstract&lt;&gt;"",QuotesCheckJudgeAbstract,if(or(QuotesCheckJudge="",and(QuotesCheckJudge = "primeiro", QuotesCheckChallengeRecommendation1 &lt;&gt; "")), QuotesCheckAbstract1,if(and(QuotesCheckJudge = "segundo", QuotesCheckChallengeRecommendation2 &lt;&gt; ""), QuotesCheckAbstract2,"")))</f>
        <v>Version control with git feature branch workflow, build, continuous integration, and software testing content should be taught.</v>
      </c>
    </row>
    <row r="184">
      <c r="A184" s="22">
        <f>IFERROR(__xludf.DUMMYFUNCTION("if(or(QuotesCheckJudge="""",and(QuotesCheckJudge = ""primeiro"", QuotesCheckChallengeRecommendation1 &lt;&gt; """"),and(QuotesCheckJudge = ""segundo"", QuotesCheckChallengeRecommendation2 &lt;&gt; """")), filter('Quotes-Check'!A184:D184, 'Quotes-Check'!A184:D184&lt;&gt;""g"&amp;"lugluieie""),"""")"),5.0)</f>
        <v>5</v>
      </c>
      <c r="B184" s="22">
        <f>IFERROR(__xludf.DUMMYFUNCTION("""COMPUTED_VALUE"""),10.0)</f>
        <v>10</v>
      </c>
      <c r="C184" s="40" t="str">
        <f>IFERROR(__xludf.DUMMYFUNCTION("""COMPUTED_VALUE"""),"R1 / R3")</f>
        <v>R1 / R3</v>
      </c>
      <c r="D184" s="22" t="str">
        <f>IFERROR(__xludf.DUMMYFUNCTION("""COMPUTED_VALUE"""),"Class Preparation")</f>
        <v>Class Preparation</v>
      </c>
      <c r="E184" s="46" t="str">
        <f>IFERROR(__xludf.DUMMYFUNCTION("if(or(QuotesCheckJudge="""",and(QuotesCheckJudge = ""primeiro"", QuotesCheckChallengeRecommendation1 &lt;&gt; """")), filter('Quotes-Check'!E184:F184, 'Quotes-Check'!E184:F184&lt;&gt;""glugluieie""),if(and(QuotesCheckJudge = ""segundo"", QuotesCheckChallengeRecommend"&amp;"ation2 &lt;&gt; """"), filter('Quotes-Check'!I184:J184, 'Quotes-Check'!I184:J184&lt;&gt;""glugluieie""),""""))"),"recommendation")</f>
        <v>recommendation</v>
      </c>
      <c r="F184" s="22" t="str">
        <f>IFERROR(__xludf.DUMMYFUNCTION("""COMPUTED_VALUE"""),"uma coisa que eu não faço, né? Que eu tô percebendo que eu vou precisar fazer, mas é exatamente eh documentar, né? Essas fontes, caso você precise revisitar, eh, eh, porque é muito fácil, né? Você abre blogue e tal, você fecha a aba e meio que morreu assi"&amp;"m. Então, de alguma forma você, você está sempre documentando, onde você pegou, da onde você puxou, guardar esses links, pra caso você tenha que, caso você precise revisitar aí em próximas, próximas versões do curso, sei lá.")</f>
        <v>uma coisa que eu não faço, né? Que eu tô percebendo que eu vou precisar fazer, mas é exatamente eh documentar, né? Essas fontes, caso você precise revisitar, eh, eh, porque é muito fácil, né? Você abre blogue e tal, você fecha a aba e meio que morreu assim. Então, de alguma forma você, você está sempre documentando, onde você pegou, da onde você puxou, guardar esses links, pra caso você tenha que, caso você precise revisitar aí em próximas, próximas versões do curso, sei lá.</v>
      </c>
      <c r="G184" s="22" t="str">
        <f>if(QuotesCheckJudgeAbstract&lt;&gt;"",QuotesCheckJudgeAbstract,if(or(QuotesCheckJudge="",and(QuotesCheckJudge = "primeiro", QuotesCheckChallengeRecommendation1 &lt;&gt; "")), QuotesCheckAbstract1,if(and(QuotesCheckJudge = "segundo", QuotesCheckChallengeRecommendation2 &lt;&gt; ""), QuotesCheckAbstract2,"")))</f>
        <v>Document the consulted material, facilitating future access.</v>
      </c>
    </row>
    <row r="185">
      <c r="A185" s="22">
        <f>IFERROR(__xludf.DUMMYFUNCTION("if(or(QuotesCheckJudge="""",and(QuotesCheckJudge = ""primeiro"", QuotesCheckChallengeRecommendation1 &lt;&gt; """"),and(QuotesCheckJudge = ""segundo"", QuotesCheckChallengeRecommendation2 &lt;&gt; """")), filter('Quotes-Check'!A185:D185, 'Quotes-Check'!A185:D185&lt;&gt;""g"&amp;"lugluieie""),"""")"),5.0)</f>
        <v>5</v>
      </c>
      <c r="B185" s="22">
        <f>IFERROR(__xludf.DUMMYFUNCTION("""COMPUTED_VALUE"""),11.0)</f>
        <v>11</v>
      </c>
      <c r="C185" s="2" t="str">
        <f>IFERROR(__xludf.DUMMYFUNCTION("""COMPUTED_VALUE"""),"R1 / R2")</f>
        <v>R1 / R2</v>
      </c>
      <c r="D185" s="22" t="str">
        <f>IFERROR(__xludf.DUMMYFUNCTION("""COMPUTED_VALUE"""),"Tool / Technology")</f>
        <v>Tool / Technology</v>
      </c>
      <c r="E185" s="46" t="str">
        <f>IFERROR(__xludf.DUMMYFUNCTION("if(or(QuotesCheckJudge="""",and(QuotesCheckJudge = ""primeiro"", QuotesCheckChallengeRecommendation1 &lt;&gt; """")), filter('Quotes-Check'!E185:F185, 'Quotes-Check'!E185:F185&lt;&gt;""glugluieie""),if(and(QuotesCheckJudge = ""segundo"", QuotesCheckChallengeRecommend"&amp;"ation2 &lt;&gt; """"), filter('Quotes-Check'!I185:J185, 'Quotes-Check'!I185:J185&lt;&gt;""glugluieie""),""""))"),"challenge")</f>
        <v>challenge</v>
      </c>
      <c r="F185" s="22" t="str">
        <f>IFERROR(__xludf.DUMMYFUNCTION("""COMPUTED_VALUE"""),"uma dificuldade das tecnologias, é reconhecer o que é relevante ser abordado em sala de aula, não é? Então, por exemplo, tem muita tecnologia no mercado. ")</f>
        <v>uma dificuldade das tecnologias, é reconhecer o que é relevante ser abordado em sala de aula, não é? Então, por exemplo, tem muita tecnologia no mercado. </v>
      </c>
      <c r="G185"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in deciding which technologies to teach, given the wide variety available on the market.</v>
      </c>
    </row>
    <row r="186">
      <c r="A186" s="22">
        <f>IFERROR(__xludf.DUMMYFUNCTION("if(or(QuotesCheckJudge="""",and(QuotesCheckJudge = ""primeiro"", QuotesCheckChallengeRecommendation1 &lt;&gt; """"),and(QuotesCheckJudge = ""segundo"", QuotesCheckChallengeRecommendation2 &lt;&gt; """")), filter('Quotes-Check'!A186:D186, 'Quotes-Check'!A186:D186&lt;&gt;""g"&amp;"lugluieie""),"""")"),5.0)</f>
        <v>5</v>
      </c>
      <c r="B186" s="22">
        <f>IFERROR(__xludf.DUMMYFUNCTION("""COMPUTED_VALUE"""),11.0)</f>
        <v>11</v>
      </c>
      <c r="C186" s="40" t="str">
        <f>IFERROR(__xludf.DUMMYFUNCTION("""COMPUTED_VALUE"""),"R1 / R2")</f>
        <v>R1 / R2</v>
      </c>
      <c r="D186" s="22" t="str">
        <f>IFERROR(__xludf.DUMMYFUNCTION("""COMPUTED_VALUE"""),"Tool / Technology")</f>
        <v>Tool / Technology</v>
      </c>
      <c r="E186" s="46" t="str">
        <f>IFERROR(__xludf.DUMMYFUNCTION("if(or(QuotesCheckJudge="""",and(QuotesCheckJudge = ""primeiro"", QuotesCheckChallengeRecommendation1 &lt;&gt; """")), filter('Quotes-Check'!E186:F186, 'Quotes-Check'!E186:F186&lt;&gt;""glugluieie""),if(and(QuotesCheckJudge = ""segundo"", QuotesCheckChallengeRecommend"&amp;"ation2 &lt;&gt; """"), filter('Quotes-Check'!I186:J186, 'Quotes-Check'!I186:J186&lt;&gt;""glugluieie""),""""))"),"recommendation")</f>
        <v>recommendation</v>
      </c>
      <c r="F186" s="22" t="str">
        <f>IFERROR(__xludf.DUMMYFUNCTION("""COMPUTED_VALUE"""),"pra essa parte de integração contínua, [...] Quando você fala de integração contínua, tem várias ferramentas que você pode usar. Então, você pode usar o Jenkins, você pode usar o Travis, você pode usar o Circle CI, agora surgiu o Github Actions, sabe?")</f>
        <v>pra essa parte de integração contínua, [...] Quando você fala de integração contínua, tem várias ferramentas que você pode usar. Então, você pode usar o Jenkins, você pode usar o Travis, você pode usar o Circle CI, agora surgiu o Github Actions, sabe?</v>
      </c>
      <c r="G186" s="22" t="str">
        <f>if(QuotesCheckJudgeAbstract&lt;&gt;"",QuotesCheckJudgeAbstract,if(or(QuotesCheckJudge="",and(QuotesCheckJudge = "primeiro", QuotesCheckChallengeRecommendation1 &lt;&gt; "")), QuotesCheckAbstract1,if(and(QuotesCheckJudge = "segundo", QuotesCheckChallengeRecommendation2 &lt;&gt; ""), QuotesCheckAbstract2,"")))</f>
        <v>Use Jenkins, Travis CI, Circle CI and Github Actions in teaching continuous integration.</v>
      </c>
    </row>
    <row r="187">
      <c r="A187" s="22">
        <f>IFERROR(__xludf.DUMMYFUNCTION("if(or(QuotesCheckJudge="""",and(QuotesCheckJudge = ""primeiro"", QuotesCheckChallengeRecommendation1 &lt;&gt; """"),and(QuotesCheckJudge = ""segundo"", QuotesCheckChallengeRecommendation2 &lt;&gt; """")), filter('Quotes-Check'!A187:D187, 'Quotes-Check'!A187:D187&lt;&gt;""g"&amp;"lugluieie""),"""")"),5.0)</f>
        <v>5</v>
      </c>
      <c r="B187" s="22">
        <f>IFERROR(__xludf.DUMMYFUNCTION("""COMPUTED_VALUE"""),11.0)</f>
        <v>11</v>
      </c>
      <c r="C187" s="40" t="str">
        <f>IFERROR(__xludf.DUMMYFUNCTION("""COMPUTED_VALUE"""),"R1 / R2")</f>
        <v>R1 / R2</v>
      </c>
      <c r="D187" s="22" t="str">
        <f>IFERROR(__xludf.DUMMYFUNCTION("""COMPUTED_VALUE"""),"Tool / Technology")</f>
        <v>Tool / Technology</v>
      </c>
      <c r="E187" s="46" t="str">
        <f>IFERROR(__xludf.DUMMYFUNCTION("if(or(QuotesCheckJudge="""",and(QuotesCheckJudge = ""primeiro"", QuotesCheckChallengeRecommendation1 &lt;&gt; """")), filter('Quotes-Check'!E187:F187, 'Quotes-Check'!E187:F187&lt;&gt;""glugluieie""),if(and(QuotesCheckJudge = ""segundo"", QuotesCheckChallengeRecommend"&amp;"ation2 &lt;&gt; """"), filter('Quotes-Check'!I187:J187, 'Quotes-Check'!I187:J187&lt;&gt;""glugluieie""),""""))"),"recommendation")</f>
        <v>recommendation</v>
      </c>
      <c r="F187" s="22" t="str">
        <f>IFERROR(__xludf.DUMMYFUNCTION("""COMPUTED_VALUE"""),"tem muita tecnologia no mercado [...] você não pode abordar tudo, né? Mas, ao mesmo tempo, só dar o conceito, eu não acho suficiente. Então, você tem que fazer uma escolha. Eu vou ensinar isso aqui.")</f>
        <v>tem muita tecnologia no mercado [...] você não pode abordar tudo, né? Mas, ao mesmo tempo, só dar o conceito, eu não acho suficiente. Então, você tem que fazer uma escolha. Eu vou ensinar isso aqui.</v>
      </c>
      <c r="G187" s="22" t="str">
        <f>if(QuotesCheckJudgeAbstract&lt;&gt;"",QuotesCheckJudgeAbstract,if(or(QuotesCheckJudge="",and(QuotesCheckJudge = "primeiro", QuotesCheckChallengeRecommendation1 &lt;&gt; "")), QuotesCheckAbstract1,if(and(QuotesCheckJudge = "segundo", QuotesCheckChallengeRecommendation2 &lt;&gt; ""), QuotesCheckAbstract2,"")))</f>
        <v>Teaching must be practical, not just theoretical.</v>
      </c>
    </row>
    <row r="188">
      <c r="A188" s="22">
        <f>IFERROR(__xludf.DUMMYFUNCTION("if(or(QuotesCheckJudge="""",and(QuotesCheckJudge = ""primeiro"", QuotesCheckChallengeRecommendation1 &lt;&gt; """"),and(QuotesCheckJudge = ""segundo"", QuotesCheckChallengeRecommendation2 &lt;&gt; """")), filter('Quotes-Check'!A188:D188, 'Quotes-Check'!A188:D188&lt;&gt;""g"&amp;"lugluieie""),"""")"),5.0)</f>
        <v>5</v>
      </c>
      <c r="B188" s="22">
        <f>IFERROR(__xludf.DUMMYFUNCTION("""COMPUTED_VALUE"""),11.0)</f>
        <v>11</v>
      </c>
      <c r="C188" s="40" t="str">
        <f>IFERROR(__xludf.DUMMYFUNCTION("""COMPUTED_VALUE"""),"R1 / R2")</f>
        <v>R1 / R2</v>
      </c>
      <c r="D188" s="22" t="str">
        <f>IFERROR(__xludf.DUMMYFUNCTION("""COMPUTED_VALUE"""),"Tool / Technology")</f>
        <v>Tool / Technology</v>
      </c>
      <c r="E188" s="46" t="str">
        <f>IFERROR(__xludf.DUMMYFUNCTION("if(or(QuotesCheckJudge="""",and(QuotesCheckJudge = ""primeiro"", QuotesCheckChallengeRecommendation1 &lt;&gt; """")), filter('Quotes-Check'!E188:F188, 'Quotes-Check'!E188:F188&lt;&gt;""glugluieie""),if(and(QuotesCheckJudge = ""segundo"", QuotesCheckChallengeRecommend"&amp;"ation2 &lt;&gt; """"), filter('Quotes-Check'!I188:J188, 'Quotes-Check'!I188:J188&lt;&gt;""glugluieie""),""""))"),"recommendation")</f>
        <v>recommendation</v>
      </c>
      <c r="F188" s="22" t="str">
        <f>IFERROR(__xludf.DUMMYFUNCTION("""COMPUTED_VALUE"""),"o Jenkins vamos dizer assim, ele, apesar dele ser desafiador, porque ele não é a coisa mais fácil do mundo de configurar. Essas dores, eu também acho importante para a galera [...] o Jenkins você não paga nada [...] Essas dores, eu também acho importante "&amp;"para a galera quando pega algo um CI que funciona na nuvem e tal, perceber, poxa, olha só que que facilidade")</f>
        <v>o Jenkins vamos dizer assim, ele, apesar dele ser desafiador, porque ele não é a coisa mais fácil do mundo de configurar. Essas dores, eu também acho importante para a galera [...] o Jenkins você não paga nada [...] Essas dores, eu também acho importante para a galera quando pega algo um CI que funciona na nuvem e tal, perceber, poxa, olha só que que facilidade</v>
      </c>
      <c r="G188" s="22" t="str">
        <f>if(QuotesCheckJudgeAbstract&lt;&gt;"",QuotesCheckJudgeAbstract,if(or(QuotesCheckJudge="",and(QuotesCheckJudge = "primeiro", QuotesCheckChallengeRecommendation1 &lt;&gt; "")), QuotesCheckAbstract1,if(and(QuotesCheckJudge = "segundo", QuotesCheckChallengeRecommendation2 &lt;&gt; ""), QuotesCheckAbstract2,"")))</f>
        <v>The difficulties of configuring CI tools like Jenkins are essential to student learning, facilitating a future transition to cloud CI tools.</v>
      </c>
    </row>
    <row r="189">
      <c r="A189" s="22">
        <f>IFERROR(__xludf.DUMMYFUNCTION("if(or(QuotesCheckJudge="""",and(QuotesCheckJudge = ""primeiro"", QuotesCheckChallengeRecommendation1 &lt;&gt; """"),and(QuotesCheckJudge = ""segundo"", QuotesCheckChallengeRecommendation2 &lt;&gt; """")), filter('Quotes-Check'!A189:D189, 'Quotes-Check'!A189:D189&lt;&gt;""g"&amp;"lugluieie""),"""")"),5.0)</f>
        <v>5</v>
      </c>
      <c r="B189" s="22">
        <f>IFERROR(__xludf.DUMMYFUNCTION("""COMPUTED_VALUE"""),11.0)</f>
        <v>11</v>
      </c>
      <c r="C189" s="2" t="str">
        <f>IFERROR(__xludf.DUMMYFUNCTION("""COMPUTED_VALUE"""),"R1 / R2")</f>
        <v>R1 / R2</v>
      </c>
      <c r="D189" s="22" t="str">
        <f>IFERROR(__xludf.DUMMYFUNCTION("""COMPUTED_VALUE"""),"Tool / Technology")</f>
        <v>Tool / Technology</v>
      </c>
      <c r="E189" s="46" t="str">
        <f>IFERROR(__xludf.DUMMYFUNCTION("if(or(QuotesCheckJudge="""",and(QuotesCheckJudge = ""primeiro"", QuotesCheckChallengeRecommendation1 &lt;&gt; """")), filter('Quotes-Check'!E189:F189, 'Quotes-Check'!E189:F189&lt;&gt;""glugluieie""),if(and(QuotesCheckJudge = ""segundo"", QuotesCheckChallengeRecommend"&amp;"ation2 &lt;&gt; """"), filter('Quotes-Check'!I189:J189, 'Quotes-Check'!I189:J189&lt;&gt;""glugluieie""),""""))"),"challenge")</f>
        <v>challenge</v>
      </c>
      <c r="F189" s="22" t="str">
        <f>IFERROR(__xludf.DUMMYFUNCTION("""COMPUTED_VALUE"""),"se você for fazer esse CI na nuvem, de forma comercial, você vai ter que pagar, não é de graça. De graça só aqui pra gente ficar brincando, certo? Mas se você quiser colocar o sistema da sua empresa pra fazer não sei quantas integrações por semana, você v"&amp;"ai ter que pagar por isso. ")</f>
        <v>se você for fazer esse CI na nuvem, de forma comercial, você vai ter que pagar, não é de graça. De graça só aqui pra gente ficar brincando, certo? Mas se você quiser colocar o sistema da sua empresa pra fazer não sei quantas integrações por semana, você vai ter que pagar por isso. </v>
      </c>
      <c r="G189" s="22" t="str">
        <f>if(QuotesCheckJudgeAbstract&lt;&gt;"",QuotesCheckJudgeAbstract,if(or(QuotesCheckJudge="",and(QuotesCheckJudge = "primeiro", QuotesCheckChallengeRecommendation1 &lt;&gt; "")), QuotesCheckAbstract1,if(and(QuotesCheckJudge = "segundo", QuotesCheckChallengeRecommendation2 &lt;&gt; ""), QuotesCheckAbstract2,"")))</f>
        <v>Using cloud services more professionally requires payment at a commercial level.</v>
      </c>
    </row>
    <row r="190">
      <c r="A190" s="22">
        <f>IFERROR(__xludf.DUMMYFUNCTION("if(or(QuotesCheckJudge="""",and(QuotesCheckJudge = ""primeiro"", QuotesCheckChallengeRecommendation1 &lt;&gt; """"),and(QuotesCheckJudge = ""segundo"", QuotesCheckChallengeRecommendation2 &lt;&gt; """")), filter('Quotes-Check'!A190:D190, 'Quotes-Check'!A190:D190&lt;&gt;""g"&amp;"lugluieie""),"""")"),5.0)</f>
        <v>5</v>
      </c>
      <c r="B190" s="22">
        <f>IFERROR(__xludf.DUMMYFUNCTION("""COMPUTED_VALUE"""),11.0)</f>
        <v>11</v>
      </c>
      <c r="C190" s="40" t="str">
        <f>IFERROR(__xludf.DUMMYFUNCTION("""COMPUTED_VALUE"""),"R1 / R2")</f>
        <v>R1 / R2</v>
      </c>
      <c r="D190" s="22" t="str">
        <f>IFERROR(__xludf.DUMMYFUNCTION("""COMPUTED_VALUE"""),"Tool / Technology")</f>
        <v>Tool / Technology</v>
      </c>
      <c r="E190" s="46" t="str">
        <f>IFERROR(__xludf.DUMMYFUNCTION("if(or(QuotesCheckJudge="""",and(QuotesCheckJudge = ""primeiro"", QuotesCheckChallengeRecommendation1 &lt;&gt; """")), filter('Quotes-Check'!E190:F190, 'Quotes-Check'!E190:F190&lt;&gt;""glugluieie""),if(and(QuotesCheckJudge = ""segundo"", QuotesCheckChallengeRecommend"&amp;"ation2 &lt;&gt; """"), filter('Quotes-Check'!I190:J190, 'Quotes-Check'!I190:J190&lt;&gt;""glugluieie""),""""))"),"recommendation")</f>
        <v>recommendation</v>
      </c>
      <c r="F190" s="22" t="str">
        <f>IFERROR(__xludf.DUMMYFUNCTION("""COMPUTED_VALUE"""),"a recomendação seria essa, seria pegar ferramentas que estão minimamente relevantes, né? E de forma que você consiga apresentar os diferentes custo-benefícios de cada uma.")</f>
        <v>a recomendação seria essa, seria pegar ferramentas que estão minimamente relevantes, né? E de forma que você consiga apresentar os diferentes custo-benefícios de cada uma.</v>
      </c>
      <c r="G190" s="22" t="str">
        <f>if(QuotesCheckJudgeAbstract&lt;&gt;"",QuotesCheckJudgeAbstract,if(or(QuotesCheckJudge="",and(QuotesCheckJudge = "primeiro", QuotesCheckChallengeRecommendation1 &lt;&gt; "")), QuotesCheckAbstract1,if(and(QuotesCheckJudge = "segundo", QuotesCheckChallengeRecommendation2 &lt;&gt; ""), QuotesCheckAbstract2,"")))</f>
        <v>Introduce students to minimal relevant tools and their tradeoffs.</v>
      </c>
    </row>
    <row r="191">
      <c r="A191" s="22">
        <f>IFERROR(__xludf.DUMMYFUNCTION("if(or(QuotesCheckJudge="""",and(QuotesCheckJudge = ""primeiro"", QuotesCheckChallengeRecommendation1 &lt;&gt; """"),and(QuotesCheckJudge = ""segundo"", QuotesCheckChallengeRecommendation2 &lt;&gt; """")), filter('Quotes-Check'!A191:D191, 'Quotes-Check'!A191:D191&lt;&gt;""g"&amp;"lugluieie""),"""")"),5.0)</f>
        <v>5</v>
      </c>
      <c r="B191" s="22">
        <f>IFERROR(__xludf.DUMMYFUNCTION("""COMPUTED_VALUE"""),11.0)</f>
        <v>11</v>
      </c>
      <c r="C191" s="40" t="str">
        <f>IFERROR(__xludf.DUMMYFUNCTION("""COMPUTED_VALUE"""),"R1 / R2")</f>
        <v>R1 / R2</v>
      </c>
      <c r="D191" s="22" t="str">
        <f>IFERROR(__xludf.DUMMYFUNCTION("""COMPUTED_VALUE"""),"Tool / Technology")</f>
        <v>Tool / Technology</v>
      </c>
      <c r="E191" s="46" t="str">
        <f>IFERROR(__xludf.DUMMYFUNCTION("if(or(QuotesCheckJudge="""",and(QuotesCheckJudge = ""primeiro"", QuotesCheckChallengeRecommendation1 &lt;&gt; """")), filter('Quotes-Check'!E191:F191, 'Quotes-Check'!E191:F191&lt;&gt;""glugluieie""),if(and(QuotesCheckJudge = ""segundo"", QuotesCheckChallengeRecommend"&amp;"ation2 &lt;&gt; """"), filter('Quotes-Check'!I191:J191, 'Quotes-Check'!I191:J191&lt;&gt;""glugluieie""),""""))"),"recommendation")</f>
        <v>recommendation</v>
      </c>
      <c r="F191" s="22" t="str">
        <f>IFERROR(__xludf.DUMMYFUNCTION("""COMPUTED_VALUE"""),"o Jenkins você não paga nada, você instala no seu servidor e já era")</f>
        <v>o Jenkins você não paga nada, você instala no seu servidor e já era</v>
      </c>
      <c r="G191" s="22" t="str">
        <f>if(QuotesCheckJudgeAbstract&lt;&gt;"",QuotesCheckJudgeAbstract,if(or(QuotesCheckJudge="",and(QuotesCheckJudge = "primeiro", QuotesCheckChallengeRecommendation1 &lt;&gt; "")), QuotesCheckAbstract1,if(and(QuotesCheckJudge = "segundo", QuotesCheckChallengeRecommendation2 &lt;&gt; ""), QuotesCheckAbstract2,"")))</f>
        <v>Use Jenkins.</v>
      </c>
    </row>
    <row r="192">
      <c r="A192" s="22">
        <f>IFERROR(__xludf.DUMMYFUNCTION("if(or(QuotesCheckJudge="""",and(QuotesCheckJudge = ""primeiro"", QuotesCheckChallengeRecommendation1 &lt;&gt; """"),and(QuotesCheckJudge = ""segundo"", QuotesCheckChallengeRecommendation2 &lt;&gt; """")), filter('Quotes-Check'!A192:D192, 'Quotes-Check'!A192:D192&lt;&gt;""g"&amp;"lugluieie""),"""")"),5.0)</f>
        <v>5</v>
      </c>
      <c r="B192" s="22">
        <f>IFERROR(__xludf.DUMMYFUNCTION("""COMPUTED_VALUE"""),12.0)</f>
        <v>12</v>
      </c>
      <c r="C192" s="40" t="str">
        <f>IFERROR(__xludf.DUMMYFUNCTION("""COMPUTED_VALUE"""),"R2 / R3")</f>
        <v>R2 / R3</v>
      </c>
      <c r="D192" s="22" t="str">
        <f>IFERROR(__xludf.DUMMYFUNCTION("""COMPUTED_VALUE"""),"Assessment")</f>
        <v>Assessment</v>
      </c>
      <c r="E192" s="46" t="str">
        <f>IFERROR(__xludf.DUMMYFUNCTION("if(or(QuotesCheckJudge="""",and(QuotesCheckJudge = ""primeiro"", QuotesCheckChallengeRecommendation1 &lt;&gt; """")), filter('Quotes-Check'!E192:F192, 'Quotes-Check'!E192:F192&lt;&gt;""glugluieie""),if(and(QuotesCheckJudge = ""segundo"", QuotesCheckChallengeRecommend"&amp;"ation2 &lt;&gt; """"), filter('Quotes-Check'!I192:J192, 'Quotes-Check'!I192:J192&lt;&gt;""glugluieie""),""""))"),"recommendation")</f>
        <v>recommendation</v>
      </c>
      <c r="F192" s="22" t="str">
        <f>IFERROR(__xludf.DUMMYFUNCTION("""COMPUTED_VALUE"""),"Eu sempre passo algum tipo de avaliação escrita dos conceitos básicos [...] eu gosto que os alunos expressem nas suas próprias palavras o que eles entenderam [...] principalmente da parte cultural")</f>
        <v>Eu sempre passo algum tipo de avaliação escrita dos conceitos básicos [...] eu gosto que os alunos expressem nas suas próprias palavras o que eles entenderam [...] principalmente da parte cultural</v>
      </c>
      <c r="G192" s="22" t="str">
        <f>if(QuotesCheckJudgeAbstract&lt;&gt;"",QuotesCheckJudgeAbstract,if(or(QuotesCheckJudge="",and(QuotesCheckJudge = "primeiro", QuotesCheckChallengeRecommendation1 &lt;&gt; "")), QuotesCheckAbstract1,if(and(QuotesCheckJudge = "segundo", QuotesCheckChallengeRecommendation2 &lt;&gt; ""), QuotesCheckAbstract2,"")))</f>
        <v>Use assessment writing of basic concepts and DevOps culture so that students can express what they understand in their own words.</v>
      </c>
    </row>
    <row r="193">
      <c r="A193" s="22">
        <f>IFERROR(__xludf.DUMMYFUNCTION("if(or(QuotesCheckJudge="""",and(QuotesCheckJudge = ""primeiro"", QuotesCheckChallengeRecommendation1 &lt;&gt; """"),and(QuotesCheckJudge = ""segundo"", QuotesCheckChallengeRecommendation2 &lt;&gt; """")), filter('Quotes-Check'!A193:D193, 'Quotes-Check'!A193:D193&lt;&gt;""g"&amp;"lugluieie""),"""")"),5.0)</f>
        <v>5</v>
      </c>
      <c r="B193" s="22">
        <f>IFERROR(__xludf.DUMMYFUNCTION("""COMPUTED_VALUE"""),12.0)</f>
        <v>12</v>
      </c>
      <c r="C193" s="40" t="str">
        <f>IFERROR(__xludf.DUMMYFUNCTION("""COMPUTED_VALUE"""),"R2 / R3")</f>
        <v>R2 / R3</v>
      </c>
      <c r="D193" s="22" t="str">
        <f>IFERROR(__xludf.DUMMYFUNCTION("""COMPUTED_VALUE"""),"Assessment")</f>
        <v>Assessment</v>
      </c>
      <c r="E193" s="46" t="str">
        <f>IFERROR(__xludf.DUMMYFUNCTION("if(or(QuotesCheckJudge="""",and(QuotesCheckJudge = ""primeiro"", QuotesCheckChallengeRecommendation1 &lt;&gt; """")), filter('Quotes-Check'!E193:F193, 'Quotes-Check'!E193:F193&lt;&gt;""glugluieie""),if(and(QuotesCheckJudge = ""segundo"", QuotesCheckChallengeRecommend"&amp;"ation2 &lt;&gt; """"), filter('Quotes-Check'!I193:J193, 'Quotes-Check'!I193:J193&lt;&gt;""glugluieie""),""""))"),"recommendation")</f>
        <v>recommendation</v>
      </c>
      <c r="F193" s="22" t="str">
        <f>IFERROR(__xludf.DUMMYFUNCTION("""COMPUTED_VALUE"""),"Do ponto de vista prático, eu simplesmente passo exercício.")</f>
        <v>Do ponto de vista prático, eu simplesmente passo exercício.</v>
      </c>
      <c r="G193" s="22" t="str">
        <f>if(QuotesCheckJudgeAbstract&lt;&gt;"",QuotesCheckJudgeAbstract,if(or(QuotesCheckJudge="",and(QuotesCheckJudge = "primeiro", QuotesCheckChallengeRecommendation1 &lt;&gt; "")), QuotesCheckAbstract1,if(and(QuotesCheckJudge = "segundo", QuotesCheckChallengeRecommendation2 &lt;&gt; ""), QuotesCheckAbstract2,"")))</f>
        <v>Evaluate through practical exercises.</v>
      </c>
    </row>
    <row r="194">
      <c r="A194" s="22">
        <f>IFERROR(__xludf.DUMMYFUNCTION("if(or(QuotesCheckJudge="""",and(QuotesCheckJudge = ""primeiro"", QuotesCheckChallengeRecommendation1 &lt;&gt; """"),and(QuotesCheckJudge = ""segundo"", QuotesCheckChallengeRecommendation2 &lt;&gt; """")), filter('Quotes-Check'!A194:D194, 'Quotes-Check'!A194:D194&lt;&gt;""g"&amp;"lugluieie""),"""")"),5.0)</f>
        <v>5</v>
      </c>
      <c r="B194" s="22">
        <f>IFERROR(__xludf.DUMMYFUNCTION("""COMPUTED_VALUE"""),13.0)</f>
        <v>13</v>
      </c>
      <c r="C194" s="2" t="str">
        <f>IFERROR(__xludf.DUMMYFUNCTION("""COMPUTED_VALUE"""),"R1 / R3")</f>
        <v>R1 / R3</v>
      </c>
      <c r="D194" s="22" t="str">
        <f>IFERROR(__xludf.DUMMYFUNCTION("""COMPUTED_VALUE"""),"Curriculum")</f>
        <v>Curriculum</v>
      </c>
      <c r="E194" s="46" t="str">
        <f>IFERROR(__xludf.DUMMYFUNCTION("if(or(QuotesCheckJudge="""",and(QuotesCheckJudge = ""primeiro"", QuotesCheckChallengeRecommendation1 &lt;&gt; """")), filter('Quotes-Check'!E194:F194, 'Quotes-Check'!E194:F194&lt;&gt;""glugluieie""),if(and(QuotesCheckJudge = ""segundo"", QuotesCheckChallengeRecommend"&amp;"ation2 &lt;&gt; """"), filter('Quotes-Check'!I194:J194, 'Quotes-Check'!I194:J194&lt;&gt;""glugluieie""),""""))"),"challenge")</f>
        <v>challenge</v>
      </c>
      <c r="F194" s="22" t="str">
        <f>IFERROR(__xludf.DUMMYFUNCTION("""COMPUTED_VALUE"""),"quando eu dei a o curso de DevOps no mestrado, foi DevOps do começo ao fim, né? Então, eu tive que decidir tudo que ia entrar no conteúdo, tem muita coisa que ficou de fora")</f>
        <v>quando eu dei a o curso de DevOps no mestrado, foi DevOps do começo ao fim, né? Então, eu tive que decidir tudo que ia entrar no conteúdo, tem muita coisa que ficou de fora</v>
      </c>
      <c r="G194" s="22" t="str">
        <f>if(QuotesCheckJudgeAbstract&lt;&gt;"",QuotesCheckJudgeAbstract,if(or(QuotesCheckJudge="",and(QuotesCheckJudge = "primeiro", QuotesCheckChallengeRecommendation1 &lt;&gt; "")), QuotesCheckAbstract1,if(and(QuotesCheckJudge = "segundo", QuotesCheckChallengeRecommendation2 &lt;&gt; ""), QuotesCheckAbstract2,"")))</f>
        <v>There is a limited amount of time to teach the devops content.</v>
      </c>
    </row>
    <row r="195">
      <c r="A195" s="22">
        <f>IFERROR(__xludf.DUMMYFUNCTION("if(or(QuotesCheckJudge="""",and(QuotesCheckJudge = ""primeiro"", QuotesCheckChallengeRecommendation1 &lt;&gt; """"),and(QuotesCheckJudge = ""segundo"", QuotesCheckChallengeRecommendation2 &lt;&gt; """")), filter('Quotes-Check'!A195:D195, 'Quotes-Check'!A195:D195&lt;&gt;""g"&amp;"lugluieie""),"""")"),5.0)</f>
        <v>5</v>
      </c>
      <c r="B195" s="22">
        <f>IFERROR(__xludf.DUMMYFUNCTION("""COMPUTED_VALUE"""),13.0)</f>
        <v>13</v>
      </c>
      <c r="C195" s="40" t="str">
        <f>IFERROR(__xludf.DUMMYFUNCTION("""COMPUTED_VALUE"""),"R1 / R3")</f>
        <v>R1 / R3</v>
      </c>
      <c r="D195" s="22" t="str">
        <f>IFERROR(__xludf.DUMMYFUNCTION("""COMPUTED_VALUE"""),"Curriculum")</f>
        <v>Curriculum</v>
      </c>
      <c r="E195" s="46" t="str">
        <f>IFERROR(__xludf.DUMMYFUNCTION("if(or(QuotesCheckJudge="""",and(QuotesCheckJudge = ""primeiro"", QuotesCheckChallengeRecommendation1 &lt;&gt; """")), filter('Quotes-Check'!E195:F195, 'Quotes-Check'!E195:F195&lt;&gt;""glugluieie""),if(and(QuotesCheckJudge = ""segundo"", QuotesCheckChallengeRecommend"&amp;"ation2 &lt;&gt; """"), filter('Quotes-Check'!I195:J195, 'Quotes-Check'!I195:J195&lt;&gt;""glugluieie""),""""))"),"recommendation")</f>
        <v>recommendation</v>
      </c>
      <c r="F195" s="22" t="str">
        <f>IFERROR(__xludf.DUMMYFUNCTION("""COMPUTED_VALUE"""),"DevOps [...] No curso de especialização [...] você consegue quebrar, todos esses conteúdos em disciplinas maiores")</f>
        <v>DevOps [...] No curso de especialização [...] você consegue quebrar, todos esses conteúdos em disciplinas maiores</v>
      </c>
      <c r="G195" s="22" t="str">
        <f>if(QuotesCheckJudgeAbstract&lt;&gt;"",QuotesCheckJudgeAbstract,if(or(QuotesCheckJudge="",and(QuotesCheckJudge = "primeiro", QuotesCheckChallengeRecommendation1 &lt;&gt; "")), QuotesCheckAbstract1,if(and(QuotesCheckJudge = "segundo", QuotesCheckChallengeRecommendation2 &lt;&gt; ""), QuotesCheckAbstract2,"")))</f>
        <v>It is possible to break the teaching of DevOps into various disciplines in a DevOps specialization course.</v>
      </c>
    </row>
    <row r="196">
      <c r="A196" s="22">
        <f>IFERROR(__xludf.DUMMYFUNCTION("if(or(QuotesCheckJudge="""",and(QuotesCheckJudge = ""primeiro"", QuotesCheckChallengeRecommendation1 &lt;&gt; """"),and(QuotesCheckJudge = ""segundo"", QuotesCheckChallengeRecommendation2 &lt;&gt; """")), filter('Quotes-Check'!A196:D196, 'Quotes-Check'!A196:D196&lt;&gt;""g"&amp;"lugluieie""),"""")"),5.0)</f>
        <v>5</v>
      </c>
      <c r="B196" s="22">
        <f>IFERROR(__xludf.DUMMYFUNCTION("""COMPUTED_VALUE"""),13.0)</f>
        <v>13</v>
      </c>
      <c r="C196" s="2" t="str">
        <f>IFERROR(__xludf.DUMMYFUNCTION("""COMPUTED_VALUE"""),"R1 / R3")</f>
        <v>R1 / R3</v>
      </c>
      <c r="D196" s="22" t="str">
        <f>IFERROR(__xludf.DUMMYFUNCTION("""COMPUTED_VALUE"""),"Curriculum")</f>
        <v>Curriculum</v>
      </c>
      <c r="E196" s="46" t="str">
        <f>IFERROR(__xludf.DUMMYFUNCTION("if(or(QuotesCheckJudge="""",and(QuotesCheckJudge = ""primeiro"", QuotesCheckChallengeRecommendation1 &lt;&gt; """")), filter('Quotes-Check'!E196:F196, 'Quotes-Check'!E196:F196&lt;&gt;""glugluieie""),if(and(QuotesCheckJudge = ""segundo"", QuotesCheckChallengeRecommend"&amp;"ation2 &lt;&gt; """"), filter('Quotes-Check'!I196:J196, 'Quotes-Check'!I196:J196&lt;&gt;""glugluieie""),""""))"),"challenge")</f>
        <v>challenge</v>
      </c>
      <c r="F196" s="22" t="str">
        <f>IFERROR(__xludf.DUMMYFUNCTION("""COMPUTED_VALUE"""),"o maior desafio é esse, tipo, o que que entra, sabe? Tem muita coisa que a galera faz dentro do Pipeline de DevOps hoje em dia, que não necessariamente entra num curso de DevOps, né? ")</f>
        <v>o maior desafio é esse, tipo, o que que entra, sabe? Tem muita coisa que a galera faz dentro do Pipeline de DevOps hoje em dia, que não necessariamente entra num curso de DevOps, né? </v>
      </c>
      <c r="G196" s="22" t="str">
        <f>if(QuotesCheckJudgeAbstract&lt;&gt;"",QuotesCheckJudgeAbstract,if(or(QuotesCheckJudge="",and(QuotesCheckJudge = "primeiro", QuotesCheckChallengeRecommendation1 &lt;&gt; "")), QuotesCheckAbstract1,if(and(QuotesCheckJudge = "segundo", QuotesCheckChallengeRecommendation2 &lt;&gt; ""), QuotesCheckAbstract2,"")))</f>
        <v>There is no convention as to what are the main DevOps concepts that should be taught.</v>
      </c>
    </row>
    <row r="197">
      <c r="A197" s="22">
        <f>IFERROR(__xludf.DUMMYFUNCTION("if(or(QuotesCheckJudge="""",and(QuotesCheckJudge = ""primeiro"", QuotesCheckChallengeRecommendation1 &lt;&gt; """"),and(QuotesCheckJudge = ""segundo"", QuotesCheckChallengeRecommendation2 &lt;&gt; """")), filter('Quotes-Check'!A197:D197, 'Quotes-Check'!A197:D197&lt;&gt;""g"&amp;"lugluieie""),"""")"),5.0)</f>
        <v>5</v>
      </c>
      <c r="B197" s="22">
        <f>IFERROR(__xludf.DUMMYFUNCTION("""COMPUTED_VALUE"""),13.0)</f>
        <v>13</v>
      </c>
      <c r="C197" s="40" t="str">
        <f>IFERROR(__xludf.DUMMYFUNCTION("""COMPUTED_VALUE"""),"R1 / R3")</f>
        <v>R1 / R3</v>
      </c>
      <c r="D197" s="22" t="str">
        <f>IFERROR(__xludf.DUMMYFUNCTION("""COMPUTED_VALUE"""),"Curriculum")</f>
        <v>Curriculum</v>
      </c>
      <c r="E197" s="46" t="str">
        <f>IFERROR(__xludf.DUMMYFUNCTION("if(or(QuotesCheckJudge="""",and(QuotesCheckJudge = ""primeiro"", QuotesCheckChallengeRecommendation1 &lt;&gt; """")), filter('Quotes-Check'!E197:F197, 'Quotes-Check'!E197:F197&lt;&gt;""glugluieie""),if(and(QuotesCheckJudge = ""segundo"", QuotesCheckChallengeRecommend"&amp;"ation2 &lt;&gt; """"), filter('Quotes-Check'!I197:J197, 'Quotes-Check'!I197:J197&lt;&gt;""glugluieie""),""""))"),"recommendation")</f>
        <v>recommendation</v>
      </c>
      <c r="F197" s="22" t="str">
        <f>IFERROR(__xludf.DUMMYFUNCTION("""COMPUTED_VALUE"""),"assim, tem algumas coisas que não podem deixar de ter, né? todas, se você ver lá a figurinha bonitinha do ciclo DevOps, né? Toda aquela parte de compilar, testar, fazer, monitorar e avaliar, eu acho que tudo isso precisa ser cobrado de alguma forma, preci"&amp;"sa entrar de alguma forma")</f>
        <v>assim, tem algumas coisas que não podem deixar de ter, né? todas, se você ver lá a figurinha bonitinha do ciclo DevOps, né? Toda aquela parte de compilar, testar, fazer, monitorar e avaliar, eu acho que tudo isso precisa ser cobrado de alguma forma, precisa entrar de alguma forma</v>
      </c>
      <c r="G197" s="22" t="str">
        <f>if(QuotesCheckJudgeAbstract&lt;&gt;"",QuotesCheckJudgeAbstract,if(or(QuotesCheckJudge="",and(QuotesCheckJudge = "primeiro", QuotesCheckChallengeRecommendation1 &lt;&gt; "")), QuotesCheckAbstract1,if(and(QuotesCheckJudge = "segundo", QuotesCheckChallengeRecommendation2 &lt;&gt; ""), QuotesCheckAbstract2,"")))</f>
        <v>The basics of building, testing, deploying, and monitoring should be present in a DevOps course.</v>
      </c>
    </row>
    <row r="198">
      <c r="A198" s="22">
        <f>IFERROR(__xludf.DUMMYFUNCTION("if(or(QuotesCheckJudge="""",and(QuotesCheckJudge = ""primeiro"", QuotesCheckChallengeRecommendation1 &lt;&gt; """"),and(QuotesCheckJudge = ""segundo"", QuotesCheckChallengeRecommendation2 &lt;&gt; """")), filter('Quotes-Check'!A198:D198, 'Quotes-Check'!A198:D198&lt;&gt;""g"&amp;"lugluieie""),"""")"),5.0)</f>
        <v>5</v>
      </c>
      <c r="B198" s="22">
        <f>IFERROR(__xludf.DUMMYFUNCTION("""COMPUTED_VALUE"""),14.0)</f>
        <v>14</v>
      </c>
      <c r="C198" s="2" t="str">
        <f>IFERROR(__xludf.DUMMYFUNCTION("""COMPUTED_VALUE"""),"R1 / R3")</f>
        <v>R1 / R3</v>
      </c>
      <c r="D198" s="22" t="str">
        <f>IFERROR(__xludf.DUMMYFUNCTION("""COMPUTED_VALUE"""),"Pedagogy")</f>
        <v>Pedagogy</v>
      </c>
      <c r="E198" s="46" t="str">
        <f>IFERROR(__xludf.DUMMYFUNCTION("if(or(QuotesCheckJudge="""",and(QuotesCheckJudge = ""primeiro"", QuotesCheckChallengeRecommendation1 &lt;&gt; """")), filter('Quotes-Check'!E198:F198, 'Quotes-Check'!E198:F198&lt;&gt;""glugluieie""),if(and(QuotesCheckJudge = ""segundo"", QuotesCheckChallengeRecommend"&amp;"ation2 &lt;&gt; """"), filter('Quotes-Check'!I198:J198, 'Quotes-Check'!I198:J198&lt;&gt;""glugluieie""),""""))"),"challenge")</f>
        <v>challenge</v>
      </c>
      <c r="F198" s="22" t="str">
        <f>IFERROR(__xludf.DUMMYFUNCTION("""COMPUTED_VALUE"""),"Porque você pega tanta coisa diferente que eu fico meio com pena, entre aspas, de passar tudo pros alunos. ... Então, eu acho que uma dificuldade, do ponto de vista, assim, tipo pedagógico da montagem das aulas e tal. Seria isso, a condensação de tudo, va"&amp;"mos dizer, a centralização do material no que você produziu, certo? ")</f>
        <v>Porque você pega tanta coisa diferente que eu fico meio com pena, entre aspas, de passar tudo pros alunos. ... Então, eu acho que uma dificuldade, do ponto de vista, assim, tipo pedagógico da montagem das aulas e tal. Seria isso, a condensação de tudo, vamos dizer, a centralização do material no que você produziu, certo? </v>
      </c>
      <c r="G198"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in resuming sufficient and suitable material for class lessons.</v>
      </c>
    </row>
    <row r="199">
      <c r="A199" s="22">
        <f>IFERROR(__xludf.DUMMYFUNCTION("if(or(QuotesCheckJudge="""",and(QuotesCheckJudge = ""primeiro"", QuotesCheckChallengeRecommendation1 &lt;&gt; """"),and(QuotesCheckJudge = ""segundo"", QuotesCheckChallengeRecommendation2 &lt;&gt; """")), filter('Quotes-Check'!A199:D199, 'Quotes-Check'!A199:D199&lt;&gt;""g"&amp;"lugluieie""),"""")"),5.0)</f>
        <v>5</v>
      </c>
      <c r="B199" s="22">
        <f>IFERROR(__xludf.DUMMYFUNCTION("""COMPUTED_VALUE"""),14.0)</f>
        <v>14</v>
      </c>
      <c r="C199" s="2" t="str">
        <f>IFERROR(__xludf.DUMMYFUNCTION("""COMPUTED_VALUE"""),"R1 / R3")</f>
        <v>R1 / R3</v>
      </c>
      <c r="D199" s="22" t="str">
        <f>IFERROR(__xludf.DUMMYFUNCTION("""COMPUTED_VALUE"""),"Pedagogy")</f>
        <v>Pedagogy</v>
      </c>
      <c r="E199" s="46" t="str">
        <f>IFERROR(__xludf.DUMMYFUNCTION("if(or(QuotesCheckJudge="""",and(QuotesCheckJudge = ""primeiro"", QuotesCheckChallengeRecommendation1 &lt;&gt; """")), filter('Quotes-Check'!E199:F199, 'Quotes-Check'!E199:F199&lt;&gt;""glugluieie""),if(and(QuotesCheckJudge = ""segundo"", QuotesCheckChallengeRecommend"&amp;"ation2 &lt;&gt; """"), filter('Quotes-Check'!I199:J199, 'Quotes-Check'!I199:J199&lt;&gt;""glugluieie""),""""))"),"challenge")</f>
        <v>challenge</v>
      </c>
      <c r="F199" s="22" t="str">
        <f>IFERROR(__xludf.DUMMYFUNCTION("""COMPUTED_VALUE"""),"E às vezes você pegou um pouquinho de uma coisa tal, né? Nem todo aquele texto era relevante, sabe? Então, acaba que o seu material acaba virando a única fonte, vamos dizer assim. Para os alunos, eu já percebi isso, assim, sabe? O pessoal estudava e tal, "&amp;"ia muito pelo material que eu preparava. Quando o material que eu preparava era, vamos dizer assim, era um conjunto de slides, né? Que não serve tanto, assim, do ponto de vista, né, de você ter uma leitura um pouco mais aprofundada e tal. Então, eu acho q"&amp;"ue uma dificuldade, do ponto de vista, assim, tipo pedagógico da montagem das aulas e tal")</f>
        <v>E às vezes você pegou um pouquinho de uma coisa tal, né? Nem todo aquele texto era relevante, sabe? Então, acaba que o seu material acaba virando a única fonte, vamos dizer assim. Para os alunos, eu já percebi isso, assim, sabe? O pessoal estudava e tal, ia muito pelo material que eu preparava. Quando o material que eu preparava era, vamos dizer assim, era um conjunto de slides, né? Que não serve tanto, assim, do ponto de vista, né, de você ter uma leitura um pouco mais aprofundada e tal. Então, eu acho que uma dificuldade, do ponto de vista, assim, tipo pedagógico da montagem das aulas e tal</v>
      </c>
      <c r="G199" s="22" t="str">
        <f>if(QuotesCheckJudgeAbstract&lt;&gt;"",QuotesCheckJudgeAbstract,if(or(QuotesCheckJudge="",and(QuotesCheckJudge = "primeiro", QuotesCheckChallengeRecommendation1 &lt;&gt; "")), QuotesCheckAbstract1,if(and(QuotesCheckJudge = "segundo", QuotesCheckChallengeRecommendation2 &lt;&gt; ""), QuotesCheckAbstract2,"")))</f>
        <v>Students rely heavily on the teacher's slide material, which is often limited.</v>
      </c>
    </row>
    <row r="200">
      <c r="A200" s="22">
        <f>IFERROR(__xludf.DUMMYFUNCTION("if(or(QuotesCheckJudge="""",and(QuotesCheckJudge = ""primeiro"", QuotesCheckChallengeRecommendation1 &lt;&gt; """"),and(QuotesCheckJudge = ""segundo"", QuotesCheckChallengeRecommendation2 &lt;&gt; """")), filter('Quotes-Check'!A200:D200, 'Quotes-Check'!A200:D200&lt;&gt;""g"&amp;"lugluieie""),"""")"),6.0)</f>
        <v>6</v>
      </c>
      <c r="B200" s="22">
        <f>IFERROR(__xludf.DUMMYFUNCTION("""COMPUTED_VALUE"""),1.0)</f>
        <v>1</v>
      </c>
      <c r="C200" s="2" t="str">
        <f>IFERROR(__xludf.DUMMYFUNCTION("""COMPUTED_VALUE"""),"R1 / R2")</f>
        <v>R1 / R2</v>
      </c>
      <c r="D200" s="22" t="str">
        <f>IFERROR(__xludf.DUMMYFUNCTION("""COMPUTED_VALUE"""),"General Challenges and Recommendations")</f>
        <v>General Challenges and Recommendations</v>
      </c>
      <c r="E200" s="46" t="str">
        <f>IFERROR(__xludf.DUMMYFUNCTION("if(or(QuotesCheckJudge="""",and(QuotesCheckJudge = ""primeiro"", QuotesCheckChallengeRecommendation1 &lt;&gt; """")), filter('Quotes-Check'!E200:F200, 'Quotes-Check'!E200:F200&lt;&gt;""glugluieie""),if(and(QuotesCheckJudge = ""segundo"", QuotesCheckChallengeRecommend"&amp;"ation2 &lt;&gt; """"), filter('Quotes-Check'!I200:J200, 'Quotes-Check'!I200:J200&lt;&gt;""glugluieie""),""""))"),"challenge")</f>
        <v>challenge</v>
      </c>
      <c r="F200" s="22" t="str">
        <f>IFERROR(__xludf.DUMMYFUNCTION("""COMPUTED_VALUE"""),"dar essa visão de que Devops não é só ferramenta [...] tá muito alinhado com o movimento ágil[...]")</f>
        <v>dar essa visão de que Devops não é só ferramenta [...] tá muito alinhado com o movimento ágil[...]</v>
      </c>
      <c r="G200"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in being able to explain to the student that DevOps does not involve only the tooling part.</v>
      </c>
    </row>
    <row r="201">
      <c r="A201" s="22">
        <f>IFERROR(__xludf.DUMMYFUNCTION("if(or(QuotesCheckJudge="""",and(QuotesCheckJudge = ""primeiro"", QuotesCheckChallengeRecommendation1 &lt;&gt; """"),and(QuotesCheckJudge = ""segundo"", QuotesCheckChallengeRecommendation2 &lt;&gt; """")), filter('Quotes-Check'!A201:D201, 'Quotes-Check'!A201:D201&lt;&gt;""g"&amp;"lugluieie""),"""")"),6.0)</f>
        <v>6</v>
      </c>
      <c r="B201" s="22">
        <f>IFERROR(__xludf.DUMMYFUNCTION("""COMPUTED_VALUE"""),1.0)</f>
        <v>1</v>
      </c>
      <c r="C201" s="2" t="str">
        <f>IFERROR(__xludf.DUMMYFUNCTION("""COMPUTED_VALUE"""),"R1 / R2")</f>
        <v>R1 / R2</v>
      </c>
      <c r="D201" s="22" t="str">
        <f>IFERROR(__xludf.DUMMYFUNCTION("""COMPUTED_VALUE"""),"General Challenges and Recommendations")</f>
        <v>General Challenges and Recommendations</v>
      </c>
      <c r="E201" s="46" t="str">
        <f>IFERROR(__xludf.DUMMYFUNCTION("if(or(QuotesCheckJudge="""",and(QuotesCheckJudge = ""primeiro"", QuotesCheckChallengeRecommendation1 &lt;&gt; """")), filter('Quotes-Check'!E201:F201, 'Quotes-Check'!E201:F201&lt;&gt;""glugluieie""),if(and(QuotesCheckJudge = ""segundo"", QuotesCheckChallengeRecommend"&amp;"ation2 &lt;&gt; """"), filter('Quotes-Check'!I201:J201, 'Quotes-Check'!I201:J201&lt;&gt;""glugluieie""),""""))"),"challenge")</f>
        <v>challenge</v>
      </c>
      <c r="F201" s="22" t="str">
        <f>IFERROR(__xludf.DUMMYFUNCTION("""COMPUTED_VALUE"""),"Como fazer aplicar essas coisas do Devops nas empresas [...] existe uma grande dificuldade que é cultural. As empresas sempre se organizaram dessa maneira, de separar movimento de infra, de não ter colaboração de não ter comunicação e tal e isso acaba ger"&amp;"ando atritos, principalmente quando surgem problemas. [...] ir mudando um pouquinho a cultura da empresa, o processo, o jeito que as pessoas se organizam, se reúnem, e tal, tentando tirar ali as barreiras, até que seja natural e ambos os times trabalhem j"&amp;"untos [...] com um único objetivo, que é desenvolver, entregar software que funciona e resolver problemas o mais rápido possível.")</f>
        <v>Como fazer aplicar essas coisas do Devops nas empresas [...] existe uma grande dificuldade que é cultural. As empresas sempre se organizaram dessa maneira, de separar movimento de infra, de não ter colaboração de não ter comunicação e tal e isso acaba gerando atritos, principalmente quando surgem problemas. [...] ir mudando um pouquinho a cultura da empresa, o processo, o jeito que as pessoas se organizam, se reúnem, e tal, tentando tirar ali as barreiras, até que seja natural e ambos os times trabalhem juntos [...] com um único objetivo, que é desenvolver, entregar software que funciona e resolver problemas o mais rápido possível.</v>
      </c>
      <c r="G201"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breaking through resistance to the DevOps culture and its principles.</v>
      </c>
    </row>
    <row r="202">
      <c r="A202" s="22">
        <f>IFERROR(__xludf.DUMMYFUNCTION("if(or(QuotesCheckJudge="""",and(QuotesCheckJudge = ""primeiro"", QuotesCheckChallengeRecommendation1 &lt;&gt; """"),and(QuotesCheckJudge = ""segundo"", QuotesCheckChallengeRecommendation2 &lt;&gt; """")), filter('Quotes-Check'!A202:D202, 'Quotes-Check'!A202:D202&lt;&gt;""g"&amp;"lugluieie""),"""")"),6.0)</f>
        <v>6</v>
      </c>
      <c r="B202" s="22">
        <f>IFERROR(__xludf.DUMMYFUNCTION("""COMPUTED_VALUE"""),2.0)</f>
        <v>2</v>
      </c>
      <c r="C202" s="2" t="str">
        <f>IFERROR(__xludf.DUMMYFUNCTION("""COMPUTED_VALUE"""),"R2 / R3")</f>
        <v>R2 / R3</v>
      </c>
      <c r="D202" s="22" t="str">
        <f>IFERROR(__xludf.DUMMYFUNCTION("""COMPUTED_VALUE"""),"DevOps Concepts")</f>
        <v>DevOps Concepts</v>
      </c>
      <c r="E202" s="46" t="str">
        <f>IFERROR(__xludf.DUMMYFUNCTION("if(or(QuotesCheckJudge="""",and(QuotesCheckJudge = ""primeiro"", QuotesCheckChallengeRecommendation1 &lt;&gt; """")), filter('Quotes-Check'!E202:F202, 'Quotes-Check'!E202:F202&lt;&gt;""glugluieie""),if(and(QuotesCheckJudge = ""segundo"", QuotesCheckChallengeRecommend"&amp;"ation2 &lt;&gt; """"), filter('Quotes-Check'!I202:J202, 'Quotes-Check'!I202:J202&lt;&gt;""glugluieie""),""""))"),"challenge")</f>
        <v>challenge</v>
      </c>
      <c r="F202" s="22" t="str">
        <f>IFERROR(__xludf.DUMMYFUNCTION("""COMPUTED_VALUE"""),"Tentar mostrar que devops não é só ferramentas, tentar fazer as pessoas entenderem isso e tentar mudar a durante a aula, assim, tentar da melhor maneira possível fazer com que as pessoas percebam, né? Que elas vão acabar tendo que ir mudando a cultura ali"&amp;" do ambiente, né? Os processos, a maneira que elas se organizam.")</f>
        <v>Tentar mostrar que devops não é só ferramentas, tentar fazer as pessoas entenderem isso e tentar mudar a durante a aula, assim, tentar da melhor maneira possível fazer com que as pessoas percebam, né? Que elas vão acabar tendo que ir mudando a cultura ali do ambiente, né? Os processos, a maneira que elas se organizam.</v>
      </c>
      <c r="G202"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breaking the student perspective that DevOps is just tools and automation.</v>
      </c>
    </row>
    <row r="203">
      <c r="A203" s="22">
        <f>IFERROR(__xludf.DUMMYFUNCTION("if(or(QuotesCheckJudge="""",and(QuotesCheckJudge = ""primeiro"", QuotesCheckChallengeRecommendation1 &lt;&gt; """"),and(QuotesCheckJudge = ""segundo"", QuotesCheckChallengeRecommendation2 &lt;&gt; """")), filter('Quotes-Check'!A203:D203, 'Quotes-Check'!A203:D203&lt;&gt;""g"&amp;"lugluieie""),"""")"),6.0)</f>
        <v>6</v>
      </c>
      <c r="B203" s="22">
        <f>IFERROR(__xludf.DUMMYFUNCTION("""COMPUTED_VALUE"""),2.0)</f>
        <v>2</v>
      </c>
      <c r="C203" s="2" t="str">
        <f>IFERROR(__xludf.DUMMYFUNCTION("""COMPUTED_VALUE"""),"R2 / R3")</f>
        <v>R2 / R3</v>
      </c>
      <c r="D203" s="22" t="str">
        <f>IFERROR(__xludf.DUMMYFUNCTION("""COMPUTED_VALUE"""),"DevOps Concepts")</f>
        <v>DevOps Concepts</v>
      </c>
      <c r="E203" s="46" t="str">
        <f>IFERROR(__xludf.DUMMYFUNCTION("if(or(QuotesCheckJudge="""",and(QuotesCheckJudge = ""primeiro"", QuotesCheckChallengeRecommendation1 &lt;&gt; """")), filter('Quotes-Check'!E203:F203, 'Quotes-Check'!E203:F203&lt;&gt;""glugluieie""),if(and(QuotesCheckJudge = ""segundo"", QuotesCheckChallengeRecommend"&amp;"ation2 &lt;&gt; """"), filter('Quotes-Check'!I203:J203, 'Quotes-Check'!I203:J203&lt;&gt;""glugluieie""),""""))"),"challenge")</f>
        <v>challenge</v>
      </c>
      <c r="F203" s="22" t="str">
        <f>IFERROR(__xludf.DUMMYFUNCTION("""COMPUTED_VALUE"""),"Tentar contextualizar também isso é bem difícil")</f>
        <v>Tentar contextualizar também isso é bem difícil</v>
      </c>
      <c r="G203"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contextualizing the DevOps culture.</v>
      </c>
    </row>
    <row r="204">
      <c r="A204" s="22">
        <f>IFERROR(__xludf.DUMMYFUNCTION("if(or(QuotesCheckJudge="""",and(QuotesCheckJudge = ""primeiro"", QuotesCheckChallengeRecommendation1 &lt;&gt; """"),and(QuotesCheckJudge = ""segundo"", QuotesCheckChallengeRecommendation2 &lt;&gt; """")), filter('Quotes-Check'!A204:D204, 'Quotes-Check'!A204:D204&lt;&gt;""g"&amp;"lugluieie""),"""")"),6.0)</f>
        <v>6</v>
      </c>
      <c r="B204" s="22">
        <f>IFERROR(__xludf.DUMMYFUNCTION("""COMPUTED_VALUE"""),2.0)</f>
        <v>2</v>
      </c>
      <c r="C204" s="2" t="str">
        <f>IFERROR(__xludf.DUMMYFUNCTION("""COMPUTED_VALUE"""),"R2 / R3")</f>
        <v>R2 / R3</v>
      </c>
      <c r="D204" s="22" t="str">
        <f>IFERROR(__xludf.DUMMYFUNCTION("""COMPUTED_VALUE"""),"DevOps Concepts")</f>
        <v>DevOps Concepts</v>
      </c>
      <c r="E204" s="46" t="str">
        <f>IFERROR(__xludf.DUMMYFUNCTION("if(or(QuotesCheckJudge="""",and(QuotesCheckJudge = ""primeiro"", QuotesCheckChallengeRecommendation1 &lt;&gt; """")), filter('Quotes-Check'!E204:F204, 'Quotes-Check'!E204:F204&lt;&gt;""glugluieie""),if(and(QuotesCheckJudge = ""segundo"", QuotesCheckChallengeRecommend"&amp;"ation2 &lt;&gt; """"), filter('Quotes-Check'!I204:J204, 'Quotes-Check'!I204:J204&lt;&gt;""glugluieie""),""""))"),"challenge")</f>
        <v>challenge</v>
      </c>
      <c r="F204" s="22" t="str">
        <f>IFERROR(__xludf.DUMMYFUNCTION("""COMPUTED_VALUE"""),"cada, cada pessoa ali na aula, cada aluno e aluna traz uma vivência diferente, desafios distintos e tentar generalizar isso é mais complicado. ")</f>
        <v>cada, cada pessoa ali na aula, cada aluno e aluna traz uma vivência diferente, desafios distintos e tentar generalizar isso é mais complicado. </v>
      </c>
      <c r="G204" s="22" t="str">
        <f>if(QuotesCheckJudgeAbstract&lt;&gt;"",QuotesCheckJudgeAbstract,if(or(QuotesCheckJudge="",and(QuotesCheckJudge = "primeiro", QuotesCheckChallengeRecommendation1 &lt;&gt; "")), QuotesCheckAbstract1,if(and(QuotesCheckJudge = "segundo", QuotesCheckChallengeRecommendation2 &lt;&gt; ""), QuotesCheckAbstract2,"")))</f>
        <v>Dealing with the different experiences and perspectives of each student.</v>
      </c>
    </row>
    <row r="205">
      <c r="A205" s="22">
        <f>IFERROR(__xludf.DUMMYFUNCTION("if(or(QuotesCheckJudge="""",and(QuotesCheckJudge = ""primeiro"", QuotesCheckChallengeRecommendation1 &lt;&gt; """"),and(QuotesCheckJudge = ""segundo"", QuotesCheckChallengeRecommendation2 &lt;&gt; """")), filter('Quotes-Check'!A205:D205, 'Quotes-Check'!A205:D205&lt;&gt;""g"&amp;"lugluieie""),"""")"),6.0)</f>
        <v>6</v>
      </c>
      <c r="B205" s="22">
        <f>IFERROR(__xludf.DUMMYFUNCTION("""COMPUTED_VALUE"""),3.0)</f>
        <v>3</v>
      </c>
      <c r="C205" s="40" t="str">
        <f>IFERROR(__xludf.DUMMYFUNCTION("""COMPUTED_VALUE"""),"R1 / R3")</f>
        <v>R1 / R3</v>
      </c>
      <c r="D205" s="22" t="str">
        <f>IFERROR(__xludf.DUMMYFUNCTION("""COMPUTED_VALUE"""),"Class Preparation")</f>
        <v>Class Preparation</v>
      </c>
      <c r="E205" s="46" t="str">
        <f>IFERROR(__xludf.DUMMYFUNCTION("if(or(QuotesCheckJudge="""",and(QuotesCheckJudge = ""primeiro"", QuotesCheckChallengeRecommendation1 &lt;&gt; """")), filter('Quotes-Check'!E205:F205, 'Quotes-Check'!E205:F205&lt;&gt;""glugluieie""),if(and(QuotesCheckJudge = ""segundo"", QuotesCheckChallengeRecommend"&amp;"ation2 &lt;&gt; """"), filter('Quotes-Check'!I205:J205, 'Quotes-Check'!I205:J205&lt;&gt;""glugluieie""),""""))"),"recommendation")</f>
        <v>recommendation</v>
      </c>
      <c r="F205" s="22" t="str">
        <f>IFERROR(__xludf.DUMMYFUNCTION("""COMPUTED_VALUE"""),"durante a criação [...] Já é tudo preparado e as turmas são sempre iguais [...] é a mesma apostila, o mesmo conteúdo, mesma didática de ensino, tão não tem uma preparação para cada aula, sabe? Foi só uma preparação inicial. ")</f>
        <v>durante a criação [...] Já é tudo preparado e as turmas são sempre iguais [...] é a mesma apostila, o mesmo conteúdo, mesma didática de ensino, tão não tem uma preparação para cada aula, sabe? Foi só uma preparação inicial. </v>
      </c>
      <c r="G205" s="22" t="str">
        <f>if(QuotesCheckJudgeAbstract&lt;&gt;"",QuotesCheckJudgeAbstract,if(or(QuotesCheckJudge="",and(QuotesCheckJudge = "primeiro", QuotesCheckChallengeRecommendation1 &lt;&gt; "")), QuotesCheckAbstract1,if(and(QuotesCheckJudge = "segundo", QuotesCheckChallengeRecommendation2 &lt;&gt; ""), QuotesCheckAbstract2,"")))</f>
        <v>Standardize the teaching material for all classes.</v>
      </c>
    </row>
    <row r="206">
      <c r="A206" s="22">
        <f>IFERROR(__xludf.DUMMYFUNCTION("if(or(QuotesCheckJudge="""",and(QuotesCheckJudge = ""primeiro"", QuotesCheckChallengeRecommendation1 &lt;&gt; """"),and(QuotesCheckJudge = ""segundo"", QuotesCheckChallengeRecommendation2 &lt;&gt; """")), filter('Quotes-Check'!A206:D206, 'Quotes-Check'!A206:D206&lt;&gt;""g"&amp;"lugluieie""),"""")"),6.0)</f>
        <v>6</v>
      </c>
      <c r="B206" s="22">
        <f>IFERROR(__xludf.DUMMYFUNCTION("""COMPUTED_VALUE"""),3.0)</f>
        <v>3</v>
      </c>
      <c r="C206" s="2" t="str">
        <f>IFERROR(__xludf.DUMMYFUNCTION("""COMPUTED_VALUE"""),"R1 / R3")</f>
        <v>R1 / R3</v>
      </c>
      <c r="D206" s="22" t="str">
        <f>IFERROR(__xludf.DUMMYFUNCTION("""COMPUTED_VALUE"""),"Class Preparation")</f>
        <v>Class Preparation</v>
      </c>
      <c r="E206" s="46" t="str">
        <f>IFERROR(__xludf.DUMMYFUNCTION("if(or(QuotesCheckJudge="""",and(QuotesCheckJudge = ""primeiro"", QuotesCheckChallengeRecommendation1 &lt;&gt; """")), filter('Quotes-Check'!E206:F206, 'Quotes-Check'!E206:F206&lt;&gt;""glugluieie""),if(and(QuotesCheckJudge = ""segundo"", QuotesCheckChallengeRecommend"&amp;"ation2 &lt;&gt; """"), filter('Quotes-Check'!I206:J206, 'Quotes-Check'!I206:J206&lt;&gt;""glugluieie""),""""))"),"challenge")</f>
        <v>challenge</v>
      </c>
      <c r="F206" s="22" t="str">
        <f>IFERROR(__xludf.DUMMYFUNCTION("""COMPUTED_VALUE"""),"essa área de devops é gigante também. Então, o treinamento é limitado ali, ti. É um treinamento de quarenta horas, né?")</f>
        <v>essa área de devops é gigante também. Então, o treinamento é limitado ali, ti. É um treinamento de quarenta horas, né?</v>
      </c>
      <c r="G206" s="22" t="str">
        <f>if(QuotesCheckJudgeAbstract&lt;&gt;"",QuotesCheckJudgeAbstract,if(or(QuotesCheckJudge="",and(QuotesCheckJudge = "primeiro", QuotesCheckChallengeRecommendation1 &lt;&gt; "")), QuotesCheckAbstract1,if(and(QuotesCheckJudge = "segundo", QuotesCheckChallengeRecommendation2 &lt;&gt; ""), QuotesCheckAbstract2,"")))</f>
        <v>Lots of DevOps content to teach with little time available (40 hours).</v>
      </c>
    </row>
    <row r="207">
      <c r="A207" s="22">
        <f>IFERROR(__xludf.DUMMYFUNCTION("if(or(QuotesCheckJudge="""",and(QuotesCheckJudge = ""primeiro"", QuotesCheckChallengeRecommendation1 &lt;&gt; """"),and(QuotesCheckJudge = ""segundo"", QuotesCheckChallengeRecommendation2 &lt;&gt; """")), filter('Quotes-Check'!A207:D207, 'Quotes-Check'!A207:D207&lt;&gt;""g"&amp;"lugluieie""),"""")"),6.0)</f>
        <v>6</v>
      </c>
      <c r="B207" s="22">
        <f>IFERROR(__xludf.DUMMYFUNCTION("""COMPUTED_VALUE"""),3.0)</f>
        <v>3</v>
      </c>
      <c r="C207" s="40" t="str">
        <f>IFERROR(__xludf.DUMMYFUNCTION("""COMPUTED_VALUE"""),"R1 / R3")</f>
        <v>R1 / R3</v>
      </c>
      <c r="D207" s="22" t="str">
        <f>IFERROR(__xludf.DUMMYFUNCTION("""COMPUTED_VALUE"""),"Class Preparation")</f>
        <v>Class Preparation</v>
      </c>
      <c r="E207" s="46" t="str">
        <f>IFERROR(__xludf.DUMMYFUNCTION("if(or(QuotesCheckJudge="""",and(QuotesCheckJudge = ""primeiro"", QuotesCheckChallengeRecommendation1 &lt;&gt; """")), filter('Quotes-Check'!E207:F207, 'Quotes-Check'!E207:F207&lt;&gt;""glugluieie""),if(and(QuotesCheckJudge = ""segundo"", QuotesCheckChallengeRecommend"&amp;"ation2 &lt;&gt; """"), filter('Quotes-Check'!I207:J207, 'Quotes-Check'!I207:J207&lt;&gt;""glugluieie""),""""))"),"recommendation")</f>
        <v>recommendation</v>
      </c>
      <c r="F207" s="22" t="str">
        <f>IFERROR(__xludf.DUMMYFUNCTION("""COMPUTED_VALUE"""),"o treinamento é limitado [...] a gente vai ter que cortar, né? Foca em ferramentas, mas em quais ferramentas. Então, essa foi uma, um grande desafio, assim, pensar em quais temas são essenciais, quais ferramentas ensinar, dentro de cada tema, né?")</f>
        <v>o treinamento é limitado [...] a gente vai ter que cortar, né? Foca em ferramentas, mas em quais ferramentas. Então, essa foi uma, um grande desafio, assim, pensar em quais temas são essenciais, quais ferramentas ensinar, dentro de cada tema, né?</v>
      </c>
      <c r="G207" s="22" t="str">
        <f>if(QuotesCheckJudgeAbstract&lt;&gt;"",QuotesCheckJudgeAbstract,if(or(QuotesCheckJudge="",and(QuotesCheckJudge = "primeiro", QuotesCheckChallengeRecommendation1 &lt;&gt; "")), QuotesCheckAbstract1,if(and(QuotesCheckJudge = "segundo", QuotesCheckChallengeRecommendation2 &lt;&gt; ""), QuotesCheckAbstract2,"")))</f>
        <v>It is necessary to choose which topics and tools are essential as the course time is limited.</v>
      </c>
    </row>
    <row r="208">
      <c r="A208" s="22">
        <f>IFERROR(__xludf.DUMMYFUNCTION("if(or(QuotesCheckJudge="""",and(QuotesCheckJudge = ""primeiro"", QuotesCheckChallengeRecommendation1 &lt;&gt; """"),and(QuotesCheckJudge = ""segundo"", QuotesCheckChallengeRecommendation2 &lt;&gt; """")), filter('Quotes-Check'!A208:D208, 'Quotes-Check'!A208:D208&lt;&gt;""g"&amp;"lugluieie""),"""")"),6.0)</f>
        <v>6</v>
      </c>
      <c r="B208" s="22">
        <f>IFERROR(__xludf.DUMMYFUNCTION("""COMPUTED_VALUE"""),3.0)</f>
        <v>3</v>
      </c>
      <c r="C208" s="40" t="str">
        <f>IFERROR(__xludf.DUMMYFUNCTION("""COMPUTED_VALUE"""),"R1 / R3")</f>
        <v>R1 / R3</v>
      </c>
      <c r="D208" s="22" t="str">
        <f>IFERROR(__xludf.DUMMYFUNCTION("""COMPUTED_VALUE"""),"Class Preparation")</f>
        <v>Class Preparation</v>
      </c>
      <c r="E208" s="46" t="str">
        <f>IFERROR(__xludf.DUMMYFUNCTION("if(or(QuotesCheckJudge="""",and(QuotesCheckJudge = ""primeiro"", QuotesCheckChallengeRecommendation1 &lt;&gt; """")), filter('Quotes-Check'!E208:F208, 'Quotes-Check'!E208:F208&lt;&gt;""glugluieie""),if(and(QuotesCheckJudge = ""segundo"", QuotesCheckChallengeRecommend"&amp;"ation2 &lt;&gt; """"), filter('Quotes-Check'!I208:J208, 'Quotes-Check'!I208:J208&lt;&gt;""glugluieie""),""""))"),"recommendation")</f>
        <v>recommendation</v>
      </c>
      <c r="F208" s="22" t="str">
        <f>IFERROR(__xludf.DUMMYFUNCTION("""COMPUTED_VALUE"""),"Qual ferramenta escolher, que aí tinha que ver, o que que era mais padrão de mercado, o que que era mais simples, o que que fica mais fácil até pra ensinar também e também como encaixar, né?")</f>
        <v>Qual ferramenta escolher, que aí tinha que ver, o que que era mais padrão de mercado, o que que era mais simples, o que que fica mais fácil até pra ensinar também e também como encaixar, né?</v>
      </c>
      <c r="G208" s="22" t="str">
        <f>if(QuotesCheckJudgeAbstract&lt;&gt;"",QuotesCheckJudgeAbstract,if(or(QuotesCheckJudge="",and(QuotesCheckJudge = "primeiro", QuotesCheckChallengeRecommendation1 &lt;&gt; "")), QuotesCheckAbstract1,if(and(QuotesCheckJudge = "segundo", QuotesCheckChallengeRecommendation2 &lt;&gt; ""), QuotesCheckAbstract2,"")))</f>
        <v>Use the simplest tools chosen by the market as a method of selecting the tools that will be adopted during the course.</v>
      </c>
    </row>
    <row r="209">
      <c r="A209" s="22">
        <f>IFERROR(__xludf.DUMMYFUNCTION("if(or(QuotesCheckJudge="""",and(QuotesCheckJudge = ""primeiro"", QuotesCheckChallengeRecommendation1 &lt;&gt; """"),and(QuotesCheckJudge = ""segundo"", QuotesCheckChallengeRecommendation2 &lt;&gt; """")), filter('Quotes-Check'!A209:D209, 'Quotes-Check'!A209:D209&lt;&gt;""g"&amp;"lugluieie""),"""")"),6.0)</f>
        <v>6</v>
      </c>
      <c r="B209" s="22">
        <f>IFERROR(__xludf.DUMMYFUNCTION("""COMPUTED_VALUE"""),3.0)</f>
        <v>3</v>
      </c>
      <c r="C209" s="2" t="str">
        <f>IFERROR(__xludf.DUMMYFUNCTION("""COMPUTED_VALUE"""),"R1 / R3")</f>
        <v>R1 / R3</v>
      </c>
      <c r="D209" s="22" t="str">
        <f>IFERROR(__xludf.DUMMYFUNCTION("""COMPUTED_VALUE"""),"Class Preparation")</f>
        <v>Class Preparation</v>
      </c>
      <c r="E209" s="46" t="str">
        <f>IFERROR(__xludf.DUMMYFUNCTION("if(or(QuotesCheckJudge="""",and(QuotesCheckJudge = ""primeiro"", QuotesCheckChallengeRecommendation1 &lt;&gt; """")), filter('Quotes-Check'!E209:F209, 'Quotes-Check'!E209:F209&lt;&gt;""glugluieie""),if(and(QuotesCheckJudge = ""segundo"", QuotesCheckChallengeRecommend"&amp;"ation2 &lt;&gt; """"), filter('Quotes-Check'!I209:J209, 'Quotes-Check'!I209:J209&lt;&gt;""glugluieie""),""""))"),"challenge")</f>
        <v>challenge</v>
      </c>
      <c r="F209" s="22" t="str">
        <f>IFERROR(__xludf.DUMMYFUNCTION("""COMPUTED_VALUE"""),"Essa parte de, de cultura e tal, que é uma parte, vamos dizer assim, mais chata, né? Que as pessoas vão lá querendo ver ferramentas, né? Então,  como balancear, né? Falar um pouco coisas não técnicas com coisas técnicas.")</f>
        <v>Essa parte de, de cultura e tal, que é uma parte, vamos dizer assim, mais chata, né? Que as pessoas vão lá querendo ver ferramentas, né? Então,  como balancear, né? Falar um pouco coisas não técnicas com coisas técnicas.</v>
      </c>
      <c r="G209"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in balancing the teaching of theory (culture) and practice (tools).</v>
      </c>
    </row>
    <row r="210">
      <c r="A210" s="22">
        <f>IFERROR(__xludf.DUMMYFUNCTION("if(or(QuotesCheckJudge="""",and(QuotesCheckJudge = ""primeiro"", QuotesCheckChallengeRecommendation1 &lt;&gt; """"),and(QuotesCheckJudge = ""segundo"", QuotesCheckChallengeRecommendation2 &lt;&gt; """")), filter('Quotes-Check'!A210:D210, 'Quotes-Check'!A210:D210&lt;&gt;""g"&amp;"lugluieie""),"""")"),6.0)</f>
        <v>6</v>
      </c>
      <c r="B210" s="22">
        <f>IFERROR(__xludf.DUMMYFUNCTION("""COMPUTED_VALUE"""),4.0)</f>
        <v>4</v>
      </c>
      <c r="C210" s="40" t="str">
        <f>IFERROR(__xludf.DUMMYFUNCTION("""COMPUTED_VALUE"""),"R1 / R3")</f>
        <v>R1 / R3</v>
      </c>
      <c r="D210" s="22" t="str">
        <f>IFERROR(__xludf.DUMMYFUNCTION("""COMPUTED_VALUE"""),"Class Preparation")</f>
        <v>Class Preparation</v>
      </c>
      <c r="E210" s="46" t="str">
        <f>IFERROR(__xludf.DUMMYFUNCTION("if(or(QuotesCheckJudge="""",and(QuotesCheckJudge = ""primeiro"", QuotesCheckChallengeRecommendation1 &lt;&gt; """")), filter('Quotes-Check'!E210:F210, 'Quotes-Check'!E210:F210&lt;&gt;""glugluieie""),if(and(QuotesCheckJudge = ""segundo"", QuotesCheckChallengeRecommend"&amp;"ation2 &lt;&gt; """"), filter('Quotes-Check'!I210:J210, 'Quotes-Check'!I210:J210&lt;&gt;""glugluieie""),""""))"),"recommendation")</f>
        <v>recommendation</v>
      </c>
      <c r="F210" s="22" t="str">
        <f>IFERROR(__xludf.DUMMYFUNCTION("""COMPUTED_VALUE"""),"de primeiramente mostrar o histórico, mostrar a motivação, mostrar o problema e fazendo uns ganchos ali com possíveis soluções que Devops foi trazendo, né?")</f>
        <v>de primeiramente mostrar o histórico, mostrar a motivação, mostrar o problema e fazendo uns ganchos ali com possíveis soluções que Devops foi trazendo, né?</v>
      </c>
      <c r="G210" s="22" t="str">
        <f>if(QuotesCheckJudgeAbstract&lt;&gt;"",QuotesCheckJudgeAbstract,if(or(QuotesCheckJudge="",and(QuotesCheckJudge = "primeiro", QuotesCheckChallengeRecommendation1 &lt;&gt; "")), QuotesCheckAbstract1,if(and(QuotesCheckJudge = "segundo", QuotesCheckChallengeRecommendation2 &lt;&gt; ""), QuotesCheckAbstract2,"")))</f>
        <v>The assembly of classes should follow the following steps to use DevOps: history, motivation, problems that can be solved, and possible solutions with DevOps.</v>
      </c>
    </row>
    <row r="211">
      <c r="A211" s="22">
        <f>IFERROR(__xludf.DUMMYFUNCTION("if(or(QuotesCheckJudge="""",and(QuotesCheckJudge = ""primeiro"", QuotesCheckChallengeRecommendation1 &lt;&gt; """"),and(QuotesCheckJudge = ""segundo"", QuotesCheckChallengeRecommendation2 &lt;&gt; """")), filter('Quotes-Check'!A211:D211, 'Quotes-Check'!A211:D211&lt;&gt;""g"&amp;"lugluieie""),"""")"),6.0)</f>
        <v>6</v>
      </c>
      <c r="B211" s="22">
        <f>IFERROR(__xludf.DUMMYFUNCTION("""COMPUTED_VALUE"""),5.0)</f>
        <v>5</v>
      </c>
      <c r="C211" s="2" t="str">
        <f>IFERROR(__xludf.DUMMYFUNCTION("""COMPUTED_VALUE"""),"R1 / R3")</f>
        <v>R1 / R3</v>
      </c>
      <c r="D211" s="22" t="str">
        <f>IFERROR(__xludf.DUMMYFUNCTION("""COMPUTED_VALUE"""),"Tool / Technology")</f>
        <v>Tool / Technology</v>
      </c>
      <c r="E211" s="46" t="str">
        <f>IFERROR(__xludf.DUMMYFUNCTION("if(or(QuotesCheckJudge="""",and(QuotesCheckJudge = ""primeiro"", QuotesCheckChallengeRecommendation1 &lt;&gt; """")), filter('Quotes-Check'!E211:F211, 'Quotes-Check'!E211:F211&lt;&gt;""glugluieie""),if(and(QuotesCheckJudge = ""segundo"", QuotesCheckChallengeRecommend"&amp;"ation2 &lt;&gt; """"), filter('Quotes-Check'!I211:J211, 'Quotes-Check'!I211:J211&lt;&gt;""glugluieie""),""""))"),"challenge")</f>
        <v>challenge</v>
      </c>
      <c r="F211" s="22" t="str">
        <f>IFERROR(__xludf.DUMMYFUNCTION("""COMPUTED_VALUE"""),"porque o universo devops, tem milhões de ferramentas, de tecnologias e tal ... tem uma infinidade de ferramentas, tem todas atendem os os objetivos, são boas e tal.")</f>
        <v>porque o universo devops, tem milhões de ferramentas, de tecnologias e tal ... tem uma infinidade de ferramentas, tem todas atendem os os objetivos, são boas e tal.</v>
      </c>
      <c r="G211" s="22" t="str">
        <f>if(QuotesCheckJudgeAbstract&lt;&gt;"",QuotesCheckJudgeAbstract,if(or(QuotesCheckJudge="",and(QuotesCheckJudge = "primeiro", QuotesCheckChallengeRecommendation1 &lt;&gt; "")), QuotesCheckAbstract1,if(and(QuotesCheckJudge = "segundo", QuotesCheckChallengeRecommendation2 &lt;&gt; ""), QuotesCheckAbstract2,"")))</f>
        <v>There are many DevOps tools.</v>
      </c>
    </row>
    <row r="212">
      <c r="A212" s="22">
        <f>IFERROR(__xludf.DUMMYFUNCTION("if(or(QuotesCheckJudge="""",and(QuotesCheckJudge = ""primeiro"", QuotesCheckChallengeRecommendation1 &lt;&gt; """"),and(QuotesCheckJudge = ""segundo"", QuotesCheckChallengeRecommendation2 &lt;&gt; """")), filter('Quotes-Check'!A212:D212, 'Quotes-Check'!A212:D212&lt;&gt;""g"&amp;"lugluieie""),"""")"),6.0)</f>
        <v>6</v>
      </c>
      <c r="B212" s="22">
        <f>IFERROR(__xludf.DUMMYFUNCTION("""COMPUTED_VALUE"""),5.0)</f>
        <v>5</v>
      </c>
      <c r="C212" s="40" t="str">
        <f>IFERROR(__xludf.DUMMYFUNCTION("""COMPUTED_VALUE"""),"R1 / R3")</f>
        <v>R1 / R3</v>
      </c>
      <c r="D212" s="22" t="str">
        <f>IFERROR(__xludf.DUMMYFUNCTION("""COMPUTED_VALUE"""),"Tool / Technology")</f>
        <v>Tool / Technology</v>
      </c>
      <c r="E212" s="46" t="str">
        <f>IFERROR(__xludf.DUMMYFUNCTION("if(or(QuotesCheckJudge="""",and(QuotesCheckJudge = ""primeiro"", QuotesCheckChallengeRecommendation1 &lt;&gt; """")), filter('Quotes-Check'!E212:F212, 'Quotes-Check'!E212:F212&lt;&gt;""glugluieie""),if(and(QuotesCheckJudge = ""segundo"", QuotesCheckChallengeRecommend"&amp;"ation2 &lt;&gt; """"), filter('Quotes-Check'!I212:J212, 'Quotes-Check'!I212:J212&lt;&gt;""glugluieie""),""""))"),"recommendation")</f>
        <v>recommendation</v>
      </c>
      <c r="F212" s="22" t="str">
        <f>IFERROR(__xludf.DUMMYFUNCTION("""COMPUTED_VALUE"""),"precisava ter algum projeto [...] Prático [...] Pra não ficar só na parte de teoria. ")</f>
        <v>precisava ter algum projeto [...] Prático [...] Pra não ficar só na parte de teoria. </v>
      </c>
      <c r="G212" s="22" t="str">
        <f>if(QuotesCheckJudgeAbstract&lt;&gt;"",QuotesCheckJudgeAbstract,if(or(QuotesCheckJudge="",and(QuotesCheckJudge = "primeiro", QuotesCheckChallengeRecommendation1 &lt;&gt; "")), QuotesCheckAbstract1,if(and(QuotesCheckJudge = "segundo", QuotesCheckChallengeRecommendation2 &lt;&gt; ""), QuotesCheckAbstract2,"")))</f>
        <v>Teaching needs a practical project, not just theoretical teaching.</v>
      </c>
    </row>
    <row r="213">
      <c r="A213" s="22">
        <f>IFERROR(__xludf.DUMMYFUNCTION("if(or(QuotesCheckJudge="""",and(QuotesCheckJudge = ""primeiro"", QuotesCheckChallengeRecommendation1 &lt;&gt; """"),and(QuotesCheckJudge = ""segundo"", QuotesCheckChallengeRecommendation2 &lt;&gt; """")), filter('Quotes-Check'!A213:D213, 'Quotes-Check'!A213:D213&lt;&gt;""g"&amp;"lugluieie""),"""")"),6.0)</f>
        <v>6</v>
      </c>
      <c r="B213" s="22">
        <f>IFERROR(__xludf.DUMMYFUNCTION("""COMPUTED_VALUE"""),5.0)</f>
        <v>5</v>
      </c>
      <c r="C213" s="40" t="str">
        <f>IFERROR(__xludf.DUMMYFUNCTION("""COMPUTED_VALUE"""),"R1 / R3")</f>
        <v>R1 / R3</v>
      </c>
      <c r="D213" s="22" t="str">
        <f>IFERROR(__xludf.DUMMYFUNCTION("""COMPUTED_VALUE"""),"Tool / Technology")</f>
        <v>Tool / Technology</v>
      </c>
      <c r="E213" s="46" t="str">
        <f>IFERROR(__xludf.DUMMYFUNCTION("if(or(QuotesCheckJudge="""",and(QuotesCheckJudge = ""primeiro"", QuotesCheckChallengeRecommendation1 &lt;&gt; """")), filter('Quotes-Check'!E213:F213, 'Quotes-Check'!E213:F213&lt;&gt;""glugluieie""),if(and(QuotesCheckJudge = ""segundo"", QuotesCheckChallengeRecommend"&amp;"ation2 &lt;&gt; """"), filter('Quotes-Check'!I213:J213, 'Quotes-Check'!I213:J213&lt;&gt;""glugluieie""),""""))"),"recommendation")</f>
        <v>recommendation</v>
      </c>
      <c r="F213" s="22" t="str">
        <f>IFERROR(__xludf.DUMMYFUNCTION("""COMPUTED_VALUE"""),"Então, a gente acabou escolhendo o Java, porque é o é o grande forte, ali, nosso, tal, foi Java.")</f>
        <v>Então, a gente acabou escolhendo o Java, porque é o é o grande forte, ali, nosso, tal, foi Java.</v>
      </c>
      <c r="G213" s="22" t="str">
        <f>if(QuotesCheckJudgeAbstract&lt;&gt;"",QuotesCheckJudgeAbstract,if(or(QuotesCheckJudge="",and(QuotesCheckJudge = "primeiro", QuotesCheckChallengeRecommendation1 &lt;&gt; "")), QuotesCheckAbstract1,if(and(QuotesCheckJudge = "segundo", QuotesCheckChallengeRecommendation2 &lt;&gt; ""), QuotesCheckAbstract2,"")))</f>
        <v>Use a programming language that the teacher knows.</v>
      </c>
    </row>
    <row r="214">
      <c r="A214" s="22">
        <f>IFERROR(__xludf.DUMMYFUNCTION("if(or(QuotesCheckJudge="""",and(QuotesCheckJudge = ""primeiro"", QuotesCheckChallengeRecommendation1 &lt;&gt; """"),and(QuotesCheckJudge = ""segundo"", QuotesCheckChallengeRecommendation2 &lt;&gt; """")), filter('Quotes-Check'!A214:D214, 'Quotes-Check'!A214:D214&lt;&gt;""g"&amp;"lugluieie""),"""")"),6.0)</f>
        <v>6</v>
      </c>
      <c r="B214" s="22">
        <f>IFERROR(__xludf.DUMMYFUNCTION("""COMPUTED_VALUE"""),5.0)</f>
        <v>5</v>
      </c>
      <c r="C214" s="40" t="str">
        <f>IFERROR(__xludf.DUMMYFUNCTION("""COMPUTED_VALUE"""),"R1 / R3")</f>
        <v>R1 / R3</v>
      </c>
      <c r="D214" s="22" t="str">
        <f>IFERROR(__xludf.DUMMYFUNCTION("""COMPUTED_VALUE"""),"Tool / Technology")</f>
        <v>Tool / Technology</v>
      </c>
      <c r="E214" s="46" t="str">
        <f>IFERROR(__xludf.DUMMYFUNCTION("if(or(QuotesCheckJudge="""",and(QuotesCheckJudge = ""primeiro"", QuotesCheckChallengeRecommendation1 &lt;&gt; """")), filter('Quotes-Check'!E214:F214, 'Quotes-Check'!E214:F214&lt;&gt;""glugluieie""),if(and(QuotesCheckJudge = ""segundo"", QuotesCheckChallengeRecommend"&amp;"ation2 &lt;&gt; """"), filter('Quotes-Check'!I214:J214, 'Quotes-Check'!I214:J214&lt;&gt;""glugluieie""),""""))"),"recommendation")</f>
        <v>recommendation</v>
      </c>
      <c r="F214" s="22" t="str">
        <f>IFERROR(__xludf.DUMMYFUNCTION("""COMPUTED_VALUE"""),"na hora que for ensinar conceitos de devops, tipo, integração contínua, vai ter uma ferramenta,")</f>
        <v>na hora que for ensinar conceitos de devops, tipo, integração contínua, vai ter uma ferramenta,</v>
      </c>
      <c r="G214" s="22" t="str">
        <f>if(QuotesCheckJudgeAbstract&lt;&gt;"",QuotesCheckJudgeAbstract,if(or(QuotesCheckJudge="",and(QuotesCheckJudge = "primeiro", QuotesCheckChallengeRecommendation1 &lt;&gt; "")), QuotesCheckAbstract1,if(and(QuotesCheckJudge = "segundo", QuotesCheckChallengeRecommendation2 &lt;&gt; ""), QuotesCheckAbstract2,"")))</f>
        <v>Use tools while explaining the continuous integration concept.</v>
      </c>
    </row>
    <row r="215">
      <c r="A215" s="22">
        <f>IFERROR(__xludf.DUMMYFUNCTION("if(or(QuotesCheckJudge="""",and(QuotesCheckJudge = ""primeiro"", QuotesCheckChallengeRecommendation1 &lt;&gt; """"),and(QuotesCheckJudge = ""segundo"", QuotesCheckChallengeRecommendation2 &lt;&gt; """")), filter('Quotes-Check'!A215:D215, 'Quotes-Check'!A215:D215&lt;&gt;""g"&amp;"lugluieie""),"""")"),6.0)</f>
        <v>6</v>
      </c>
      <c r="B215" s="22">
        <f>IFERROR(__xludf.DUMMYFUNCTION("""COMPUTED_VALUE"""),5.0)</f>
        <v>5</v>
      </c>
      <c r="C215" s="40" t="str">
        <f>IFERROR(__xludf.DUMMYFUNCTION("""COMPUTED_VALUE"""),"R1 / R3")</f>
        <v>R1 / R3</v>
      </c>
      <c r="D215" s="22" t="str">
        <f>IFERROR(__xludf.DUMMYFUNCTION("""COMPUTED_VALUE"""),"Tool / Technology")</f>
        <v>Tool / Technology</v>
      </c>
      <c r="E215" s="46" t="str">
        <f>IFERROR(__xludf.DUMMYFUNCTION("if(or(QuotesCheckJudge="""",and(QuotesCheckJudge = ""primeiro"", QuotesCheckChallengeRecommendation1 &lt;&gt; """")), filter('Quotes-Check'!E215:F215, 'Quotes-Check'!E215:F215&lt;&gt;""glugluieie""),if(and(QuotesCheckJudge = ""segundo"", QuotesCheckChallengeRecommend"&amp;"ation2 &lt;&gt; """"), filter('Quotes-Check'!I215:J215, 'Quotes-Check'!I215:J215&lt;&gt;""glugluieie""),""""))"),"recommendation")</f>
        <v>recommendation</v>
      </c>
      <c r="F215" s="22" t="str">
        <f>IFERROR(__xludf.DUMMYFUNCTION("""COMPUTED_VALUE"""),"a recomendação mesmo é olhar pro mercado, pesquisar, ver, em Twitter, grupos de discussão, ver o que tá em alta no Google Trends. Para saber escolher uma ferramenta que seja mais popular, né? Que seja mais utilizada e que mais pessoas consigam aproveitar "&amp;"ali o conteúdo, né? Porque são ferramentas que elas já estão acostumadas a utilizar.")</f>
        <v>a recomendação mesmo é olhar pro mercado, pesquisar, ver, em Twitter, grupos de discussão, ver o que tá em alta no Google Trends. Para saber escolher uma ferramenta que seja mais popular, né? Que seja mais utilizada e que mais pessoas consigam aproveitar ali o conteúdo, né? Porque são ferramentas que elas já estão acostumadas a utilizar.</v>
      </c>
      <c r="G215" s="22" t="str">
        <f>if(QuotesCheckJudgeAbstract&lt;&gt;"",QuotesCheckJudgeAbstract,if(or(QuotesCheckJudge="",and(QuotesCheckJudge = "primeiro", QuotesCheckChallengeRecommendation1 &lt;&gt; "")), QuotesCheckAbstract1,if(and(QuotesCheckJudge = "segundo", QuotesCheckChallengeRecommendation2 &lt;&gt; ""), QuotesCheckAbstract2,"")))</f>
        <v>Research market tools on Twitter, discussion groups, Google Trends, as they are probably the tools that students are used to using and will take advantage of in their work.</v>
      </c>
    </row>
    <row r="216">
      <c r="A216" s="22">
        <f>IFERROR(__xludf.DUMMYFUNCTION("if(or(QuotesCheckJudge="""",and(QuotesCheckJudge = ""primeiro"", QuotesCheckChallengeRecommendation1 &lt;&gt; """"),and(QuotesCheckJudge = ""segundo"", QuotesCheckChallengeRecommendation2 &lt;&gt; """")), filter('Quotes-Check'!A216:D216, 'Quotes-Check'!A216:D216&lt;&gt;""g"&amp;"lugluieie""),"""")"),6.0)</f>
        <v>6</v>
      </c>
      <c r="B216" s="22">
        <f>IFERROR(__xludf.DUMMYFUNCTION("""COMPUTED_VALUE"""),6.0)</f>
        <v>6</v>
      </c>
      <c r="C216" s="40" t="str">
        <f>IFERROR(__xludf.DUMMYFUNCTION("""COMPUTED_VALUE"""),"R1 / R2")</f>
        <v>R1 / R2</v>
      </c>
      <c r="D216" s="22" t="str">
        <f>IFERROR(__xludf.DUMMYFUNCTION("""COMPUTED_VALUE"""),"Assessment")</f>
        <v>Assessment</v>
      </c>
      <c r="E216" s="46" t="str">
        <f>IFERROR(__xludf.DUMMYFUNCTION("if(or(QuotesCheckJudge="""",and(QuotesCheckJudge = ""primeiro"", QuotesCheckChallengeRecommendation1 &lt;&gt; """")), filter('Quotes-Check'!E216:F216, 'Quotes-Check'!E216:F216&lt;&gt;""glugluieie""),if(and(QuotesCheckJudge = ""segundo"", QuotesCheckChallengeRecommend"&amp;"ation2 &lt;&gt; """"), filter('Quotes-Check'!I216:J216, 'Quotes-Check'!I216:J216&lt;&gt;""glugluieie""),""""))"),"recommendation")</f>
        <v>recommendation</v>
      </c>
      <c r="F216" s="22" t="str">
        <f>IFERROR(__xludf.DUMMYFUNCTION("""COMPUTED_VALUE"""),"a gente não faz avaliação, [...] mas ao longo do treinamento, a gente vai observando, né, os alunos e tal. ")</f>
        <v>a gente não faz avaliação, [...] mas ao longo do treinamento, a gente vai observando, né, os alunos e tal. </v>
      </c>
      <c r="G216" s="22" t="str">
        <f>if(QuotesCheckJudgeAbstract&lt;&gt;"",QuotesCheckJudgeAbstract,if(or(QuotesCheckJudge="",and(QuotesCheckJudge = "primeiro", QuotesCheckChallengeRecommendation1 &lt;&gt; "")), QuotesCheckAbstract1,if(and(QuotesCheckJudge = "segundo", QuotesCheckChallengeRecommendation2 &lt;&gt; ""), QuotesCheckAbstract2,"")))</f>
        <v>Monitor student progress throughout training by conducting a traditional assessment.</v>
      </c>
    </row>
    <row r="217">
      <c r="A217" s="22">
        <f>IFERROR(__xludf.DUMMYFUNCTION("if(or(QuotesCheckJudge="""",and(QuotesCheckJudge = ""primeiro"", QuotesCheckChallengeRecommendation1 &lt;&gt; """"),and(QuotesCheckJudge = ""segundo"", QuotesCheckChallengeRecommendation2 &lt;&gt; """")), filter('Quotes-Check'!A217:D217, 'Quotes-Check'!A217:D217&lt;&gt;""g"&amp;"lugluieie""),"""")"),6.0)</f>
        <v>6</v>
      </c>
      <c r="B217" s="22">
        <f>IFERROR(__xludf.DUMMYFUNCTION("""COMPUTED_VALUE"""),6.0)</f>
        <v>6</v>
      </c>
      <c r="C217" s="40" t="str">
        <f>IFERROR(__xludf.DUMMYFUNCTION("""COMPUTED_VALUE"""),"R1 / R2")</f>
        <v>R1 / R2</v>
      </c>
      <c r="D217" s="22" t="str">
        <f>IFERROR(__xludf.DUMMYFUNCTION("""COMPUTED_VALUE"""),"Assessment")</f>
        <v>Assessment</v>
      </c>
      <c r="E217" s="46" t="str">
        <f>IFERROR(__xludf.DUMMYFUNCTION("if(or(QuotesCheckJudge="""",and(QuotesCheckJudge = ""primeiro"", QuotesCheckChallengeRecommendation1 &lt;&gt; """")), filter('Quotes-Check'!E217:F217, 'Quotes-Check'!E217:F217&lt;&gt;""glugluieie""),if(and(QuotesCheckJudge = ""segundo"", QuotesCheckChallengeRecommend"&amp;"ation2 &lt;&gt; """"), filter('Quotes-Check'!I217:J217, 'Quotes-Check'!I217:J217&lt;&gt;""glugluieie""),""""))"),"recommendation")</f>
        <v>recommendation</v>
      </c>
      <c r="F217" s="22" t="str">
        <f>IFERROR(__xludf.DUMMYFUNCTION("""COMPUTED_VALUE"""),"a parte da avaliação [...] a recomendação seria tentar bolar [...]algum projeto ou algum desafio no projeto em si que envolva a colaboração entre as pessoas, que sei lá, consiga dividir a turma ali, os alunos em grupos e cada um vai atacar um problema e d"&amp;"epois tudo tem que se unir junto, né? Então, observar [...] eles")</f>
        <v>a parte da avaliação [...] a recomendação seria tentar bolar [...]algum projeto ou algum desafio no projeto em si que envolva a colaboração entre as pessoas, que sei lá, consiga dividir a turma ali, os alunos em grupos e cada um vai atacar um problema e depois tudo tem que se unir junto, né? Então, observar [...] eles</v>
      </c>
      <c r="G217" s="22" t="str">
        <f>if(QuotesCheckJudgeAbstract&lt;&gt;"",QuotesCheckJudgeAbstract,if(or(QuotesCheckJudge="",and(QuotesCheckJudge = "primeiro", QuotesCheckChallengeRecommendation1 &lt;&gt; "")), QuotesCheckAbstract1,if(and(QuotesCheckJudge = "segundo", QuotesCheckChallengeRecommendation2 &lt;&gt; ""), QuotesCheckAbstract2,"")))</f>
        <v>Assess students through project and group exercises, more specifically the collaboration of each one within the group.</v>
      </c>
    </row>
    <row r="218">
      <c r="A218" s="22">
        <f>IFERROR(__xludf.DUMMYFUNCTION("if(or(QuotesCheckJudge="""",and(QuotesCheckJudge = ""primeiro"", QuotesCheckChallengeRecommendation1 &lt;&gt; """"),and(QuotesCheckJudge = ""segundo"", QuotesCheckChallengeRecommendation2 &lt;&gt; """")), filter('Quotes-Check'!A218:D218, 'Quotes-Check'!A218:D218&lt;&gt;""g"&amp;"lugluieie""),"""")"),6.0)</f>
        <v>6</v>
      </c>
      <c r="B218" s="22">
        <f>IFERROR(__xludf.DUMMYFUNCTION("""COMPUTED_VALUE"""),7.0)</f>
        <v>7</v>
      </c>
      <c r="C218" s="40" t="str">
        <f>IFERROR(__xludf.DUMMYFUNCTION("""COMPUTED_VALUE"""),"R2 / R3")</f>
        <v>R2 / R3</v>
      </c>
      <c r="D218" s="22" t="str">
        <f>IFERROR(__xludf.DUMMYFUNCTION("""COMPUTED_VALUE"""),"Curriculum")</f>
        <v>Curriculum</v>
      </c>
      <c r="E218" s="46" t="str">
        <f>IFERROR(__xludf.DUMMYFUNCTION("if(or(QuotesCheckJudge="""",and(QuotesCheckJudge = ""primeiro"", QuotesCheckChallengeRecommendation1 &lt;&gt; """")), filter('Quotes-Check'!E218:F218, 'Quotes-Check'!E218:F218&lt;&gt;""glugluieie""),if(and(QuotesCheckJudge = ""segundo"", QuotesCheckChallengeRecommend"&amp;"ation2 &lt;&gt; """"), filter('Quotes-Check'!I218:J218, 'Quotes-Check'!I218:J218&lt;&gt;""glugluieie""),""""))"),"recommendation")</f>
        <v>recommendation</v>
      </c>
      <c r="F218" s="22" t="str">
        <f>IFERROR(__xludf.DUMMYFUNCTION("""COMPUTED_VALUE"""),"Uma coisa importante pra mim, que ficou claro durante os meus estudos, é que eu tinha que mostrar de algum jeito o histórico,  a motivação, então eu quis encaixar de qualquer jeito ali no currículo já no começo, mostrando a história do desenvolvimento de "&amp;"software [...] encaixar esses tópicos, assim, mais históricos, que não são bem, não são técnicos, né? Mas de uma maneira que não seja muito maçante também [...] tem que encaixar isso com a parte técnica [...] Com conceitos de  integração contínua, entrega"&amp;" contínua, deploy contínuo, ferramentas, automatização, enfim.")</f>
        <v>Uma coisa importante pra mim, que ficou claro durante os meus estudos, é que eu tinha que mostrar de algum jeito o histórico,  a motivação, então eu quis encaixar de qualquer jeito ali no currículo já no começo, mostrando a história do desenvolvimento de software [...] encaixar esses tópicos, assim, mais históricos, que não são bem, não são técnicos, né? Mas de uma maneira que não seja muito maçante também [...] tem que encaixar isso com a parte técnica [...] Com conceitos de  integração contínua, entrega contínua, deploy contínuo, ferramentas, automatização, enfim.</v>
      </c>
      <c r="G218" s="22" t="str">
        <f>if(QuotesCheckJudgeAbstract&lt;&gt;"",QuotesCheckJudgeAbstract,if(or(QuotesCheckJudge="",and(QuotesCheckJudge = "primeiro", QuotesCheckChallengeRecommendation1 &lt;&gt; "")), QuotesCheckAbstract1,if(and(QuotesCheckJudge = "segundo", QuotesCheckChallengeRecommendation2 &lt;&gt; ""), QuotesCheckAbstract2,"")))</f>
        <v>Contextualize the historical aspects and definition of continuous integration, continuous delivery, continuous deployment, and automation concepts.</v>
      </c>
    </row>
    <row r="219">
      <c r="A219" s="22">
        <f>IFERROR(__xludf.DUMMYFUNCTION("if(or(QuotesCheckJudge="""",and(QuotesCheckJudge = ""primeiro"", QuotesCheckChallengeRecommendation1 &lt;&gt; """"),and(QuotesCheckJudge = ""segundo"", QuotesCheckChallengeRecommendation2 &lt;&gt; """")), filter('Quotes-Check'!A219:D219, 'Quotes-Check'!A219:D219&lt;&gt;""g"&amp;"lugluieie""),"""")"),6.0)</f>
        <v>6</v>
      </c>
      <c r="B219" s="22">
        <f>IFERROR(__xludf.DUMMYFUNCTION("""COMPUTED_VALUE"""),7.0)</f>
        <v>7</v>
      </c>
      <c r="C219" s="40" t="str">
        <f>IFERROR(__xludf.DUMMYFUNCTION("""COMPUTED_VALUE"""),"R2 / R3")</f>
        <v>R2 / R3</v>
      </c>
      <c r="D219" s="22" t="str">
        <f>IFERROR(__xludf.DUMMYFUNCTION("""COMPUTED_VALUE"""),"Curriculum")</f>
        <v>Curriculum</v>
      </c>
      <c r="E219" s="46" t="str">
        <f>IFERROR(__xludf.DUMMYFUNCTION("if(or(QuotesCheckJudge="""",and(QuotesCheckJudge = ""primeiro"", QuotesCheckChallengeRecommendation1 &lt;&gt; """")), filter('Quotes-Check'!E219:F219, 'Quotes-Check'!E219:F219&lt;&gt;""glugluieie""),if(and(QuotesCheckJudge = ""segundo"", QuotesCheckChallengeRecommend"&amp;"ation2 &lt;&gt; """"), filter('Quotes-Check'!I219:J219, 'Quotes-Check'!I219:J219&lt;&gt;""glugluieie""),""""))"),"recommendation")</f>
        <v>recommendation</v>
      </c>
      <c r="F219" s="22" t="str">
        <f>IFERROR(__xludf.DUMMYFUNCTION("""COMPUTED_VALUE""")," eu tinha que mostrar de algum jeito o histórico... a história do desenvolvimento de software, mostrando sobre os processos, né? O cascata, RUP, ágil, falar bastante do ágil, porque tá relacionado e encaixar esses tópicos, assim, mais históricos, que não "&amp;"são bem, não são técnicos... E fazer um paralelo, aí, com o mundo ágil com os problemas que o Devops veio resolver, né?")</f>
        <v> eu tinha que mostrar de algum jeito o histórico... a história do desenvolvimento de software, mostrando sobre os processos, né? O cascata, RUP, ágil, falar bastante do ágil, porque tá relacionado e encaixar esses tópicos, assim, mais históricos, que não são bem, não são técnicos... E fazer um paralelo, aí, com o mundo ágil com os problemas que o Devops veio resolver, né?</v>
      </c>
      <c r="G219" s="22" t="str">
        <f>if(QuotesCheckJudgeAbstract&lt;&gt;"",QuotesCheckJudgeAbstract,if(or(QuotesCheckJudge="",and(QuotesCheckJudge = "primeiro", QuotesCheckChallengeRecommendation1 &lt;&gt; "")), QuotesCheckAbstract1,if(and(QuotesCheckJudge = "segundo", QuotesCheckChallengeRecommendation2 &lt;&gt; ""), QuotesCheckAbstract2,"")))</f>
        <v>It is important to show the relationship of DevOps with software development models, notably Agile.</v>
      </c>
    </row>
    <row r="220">
      <c r="A220" s="22">
        <f>IFERROR(__xludf.DUMMYFUNCTION("if(or(QuotesCheckJudge="""",and(QuotesCheckJudge = ""primeiro"", QuotesCheckChallengeRecommendation1 &lt;&gt; """"),and(QuotesCheckJudge = ""segundo"", QuotesCheckChallengeRecommendation2 &lt;&gt; """")), filter('Quotes-Check'!A220:D220, 'Quotes-Check'!A220:D220&lt;&gt;""g"&amp;"lugluieie""),"""")"),6.0)</f>
        <v>6</v>
      </c>
      <c r="B220" s="22">
        <f>IFERROR(__xludf.DUMMYFUNCTION("""COMPUTED_VALUE"""),7.0)</f>
        <v>7</v>
      </c>
      <c r="C220" s="2" t="str">
        <f>IFERROR(__xludf.DUMMYFUNCTION("""COMPUTED_VALUE"""),"R2 / R3")</f>
        <v>R2 / R3</v>
      </c>
      <c r="D220" s="22" t="str">
        <f>IFERROR(__xludf.DUMMYFUNCTION("""COMPUTED_VALUE"""),"Curriculum")</f>
        <v>Curriculum</v>
      </c>
      <c r="E220" s="46" t="str">
        <f>IFERROR(__xludf.DUMMYFUNCTION("if(or(QuotesCheckJudge="""",and(QuotesCheckJudge = ""primeiro"", QuotesCheckChallengeRecommendation1 &lt;&gt; """")), filter('Quotes-Check'!E220:F220, 'Quotes-Check'!E220:F220&lt;&gt;""glugluieie""),if(and(QuotesCheckJudge = ""segundo"", QuotesCheckChallengeRecommend"&amp;"ation2 &lt;&gt; """"), filter('Quotes-Check'!I220:J220, 'Quotes-Check'!I220:J220&lt;&gt;""glugluieie""),""""))"),"challenge")</f>
        <v>challenge</v>
      </c>
      <c r="F220" s="22" t="str">
        <f>IFERROR(__xludf.DUMMYFUNCTION("""COMPUTED_VALUE""")," o desafio é esse: ter a parte do não técnico com o técnico, ponderar os dois e abordar esses principais tópicos, né? ")</f>
        <v> o desafio é esse: ter a parte do não técnico com o técnico, ponderar os dois e abordar esses principais tópicos, né? </v>
      </c>
      <c r="G220" s="22" t="str">
        <f>if(QuotesCheckJudgeAbstract&lt;&gt;"",QuotesCheckJudgeAbstract,if(or(QuotesCheckJudge="",and(QuotesCheckJudge = "primeiro", QuotesCheckChallengeRecommendation1 &lt;&gt; "")), QuotesCheckAbstract1,if(and(QuotesCheckJudge = "segundo", QuotesCheckChallengeRecommendation2 &lt;&gt; ""), QuotesCheckAbstract2,"")))</f>
        <v>Challenge to balance theory and practice.</v>
      </c>
    </row>
    <row r="221">
      <c r="A221" s="22">
        <f>IFERROR(__xludf.DUMMYFUNCTION("if(or(QuotesCheckJudge="""",and(QuotesCheckJudge = ""primeiro"", QuotesCheckChallengeRecommendation1 &lt;&gt; """"),and(QuotesCheckJudge = ""segundo"", QuotesCheckChallengeRecommendation2 &lt;&gt; """")), filter('Quotes-Check'!A221:D221, 'Quotes-Check'!A221:D221&lt;&gt;""g"&amp;"lugluieie""),"""")"),6.0)</f>
        <v>6</v>
      </c>
      <c r="B221" s="22">
        <f>IFERROR(__xludf.DUMMYFUNCTION("""COMPUTED_VALUE"""),8.0)</f>
        <v>8</v>
      </c>
      <c r="C221" s="2" t="str">
        <f>IFERROR(__xludf.DUMMYFUNCTION("""COMPUTED_VALUE"""),"R1 / R3")</f>
        <v>R1 / R3</v>
      </c>
      <c r="D221" s="22" t="str">
        <f>IFERROR(__xludf.DUMMYFUNCTION("""COMPUTED_VALUE"""),"Pedagogy")</f>
        <v>Pedagogy</v>
      </c>
      <c r="E221" s="46" t="str">
        <f>IFERROR(__xludf.DUMMYFUNCTION("if(or(QuotesCheckJudge="""",and(QuotesCheckJudge = ""primeiro"", QuotesCheckChallengeRecommendation1 &lt;&gt; """")), filter('Quotes-Check'!E221:F221, 'Quotes-Check'!E221:F221&lt;&gt;""glugluieie""),if(and(QuotesCheckJudge = ""segundo"", QuotesCheckChallengeRecommend"&amp;"ation2 &lt;&gt; """"), filter('Quotes-Check'!I221:J221, 'Quotes-Check'!I221:J221&lt;&gt;""glugluieie""),""""))"),"challenge")</f>
        <v>challenge</v>
      </c>
      <c r="F221" s="22" t="str">
        <f>IFERROR(__xludf.DUMMYFUNCTION("""COMPUTED_VALUE"""),"Tem conceitos ali de colaboração, de comunicação, de organização que são um pouco subjetivos, né? Então, é um pouco mais difícil de você avaliar")</f>
        <v>Tem conceitos ali de colaboração, de comunicação, de organização que são um pouco subjetivos, né? Então, é um pouco mais difícil de você avaliar</v>
      </c>
      <c r="G221" s="22" t="str">
        <f>if(QuotesCheckJudgeAbstract&lt;&gt;"",QuotesCheckJudgeAbstract,if(or(QuotesCheckJudge="",and(QuotesCheckJudge = "primeiro", QuotesCheckChallengeRecommendation1 &lt;&gt; "")), QuotesCheckAbstract1,if(and(QuotesCheckJudge = "segundo", QuotesCheckChallengeRecommendation2 &lt;&gt; ""), QuotesCheckAbstract2,"")))</f>
        <v>The DevOps concepts collaboration, communication and organization are difficult to assess due to the high degree of subjectivity.</v>
      </c>
    </row>
    <row r="222">
      <c r="A222" s="22">
        <f>IFERROR(__xludf.DUMMYFUNCTION("if(or(QuotesCheckJudge="""",and(QuotesCheckJudge = ""primeiro"", QuotesCheckChallengeRecommendation1 &lt;&gt; """"),and(QuotesCheckJudge = ""segundo"", QuotesCheckChallengeRecommendation2 &lt;&gt; """")), filter('Quotes-Check'!A222:D222, 'Quotes-Check'!A222:D222&lt;&gt;""g"&amp;"lugluieie""),"""")"),6.0)</f>
        <v>6</v>
      </c>
      <c r="B222" s="22">
        <f>IFERROR(__xludf.DUMMYFUNCTION("""COMPUTED_VALUE"""),8.0)</f>
        <v>8</v>
      </c>
      <c r="C222" s="2" t="str">
        <f>IFERROR(__xludf.DUMMYFUNCTION("""COMPUTED_VALUE"""),"R1 / R3")</f>
        <v>R1 / R3</v>
      </c>
      <c r="D222" s="22" t="str">
        <f>IFERROR(__xludf.DUMMYFUNCTION("""COMPUTED_VALUE"""),"Pedagogy")</f>
        <v>Pedagogy</v>
      </c>
      <c r="E222" s="46" t="str">
        <f>IFERROR(__xludf.DUMMYFUNCTION("if(or(QuotesCheckJudge="""",and(QuotesCheckJudge = ""primeiro"", QuotesCheckChallengeRecommendation1 &lt;&gt; """")), filter('Quotes-Check'!E222:F222, 'Quotes-Check'!E222:F222&lt;&gt;""glugluieie""),if(and(QuotesCheckJudge = ""segundo"", QuotesCheckChallengeRecommend"&amp;"ation2 &lt;&gt; """"), filter('Quotes-Check'!I222:J222, 'Quotes-Check'!I222:J222&lt;&gt;""glugluieie""),""""))"),"challenge")</f>
        <v>challenge</v>
      </c>
      <c r="F222" s="22" t="str">
        <f>IFERROR(__xludf.DUMMYFUNCTION("""COMPUTED_VALUE"""),"Outro desafio também, que [...] a gente mudou o nosso modelo que era presencial pra online, ao vivo. E aí, a gente tinha esse problema, né, que no curso tem um projeto, com determinadas tecnologias, só que, no nosso caso, a gente já tem um laboratório que"&amp;" já tá tudo instalado e configurado. Então, no caso, poxa, agora, é o aluno que vai fazer da casa dele, né, como é que ele vai configurar a infra com aquele projeto específico e sem ter dor de cabeça, isso não atrapalhar na aula. ")</f>
        <v>Outro desafio também, que [...] a gente mudou o nosso modelo que era presencial pra online, ao vivo. E aí, a gente tinha esse problema, né, que no curso tem um projeto, com determinadas tecnologias, só que, no nosso caso, a gente já tem um laboratório que já tá tudo instalado e configurado. Então, no caso, poxa, agora, é o aluno que vai fazer da casa dele, né, como é que ele vai configurar a infra com aquele projeto específico e sem ter dor de cabeça, isso não atrapalhar na aula. </v>
      </c>
      <c r="G222" s="22" t="str">
        <f>if(QuotesCheckJudgeAbstract&lt;&gt;"",QuotesCheckJudgeAbstract,if(or(QuotesCheckJudge="",and(QuotesCheckJudge = "primeiro", QuotesCheckChallengeRecommendation1 &lt;&gt; "")), QuotesCheckAbstract1,if(and(QuotesCheckJudge = "segundo", QuotesCheckChallengeRecommendation2 &lt;&gt; ""), QuotesCheckAbstract2,"")))</f>
        <v>Students find it difficult to configure the tools on their own machines in remote teaching mode.</v>
      </c>
    </row>
    <row r="223">
      <c r="A223" s="22">
        <f>IFERROR(__xludf.DUMMYFUNCTION("if(or(QuotesCheckJudge="""",and(QuotesCheckJudge = ""primeiro"", QuotesCheckChallengeRecommendation1 &lt;&gt; """"),and(QuotesCheckJudge = ""segundo"", QuotesCheckChallengeRecommendation2 &lt;&gt; """")), filter('Quotes-Check'!A223:D223, 'Quotes-Check'!A223:D223&lt;&gt;""g"&amp;"lugluieie""),"""")"),6.0)</f>
        <v>6</v>
      </c>
      <c r="B223" s="22">
        <f>IFERROR(__xludf.DUMMYFUNCTION("""COMPUTED_VALUE"""),8.0)</f>
        <v>8</v>
      </c>
      <c r="C223" s="40" t="str">
        <f>IFERROR(__xludf.DUMMYFUNCTION("""COMPUTED_VALUE"""),"R1 / R3")</f>
        <v>R1 / R3</v>
      </c>
      <c r="D223" s="22" t="str">
        <f>IFERROR(__xludf.DUMMYFUNCTION("""COMPUTED_VALUE"""),"Pedagogy")</f>
        <v>Pedagogy</v>
      </c>
      <c r="E223" s="46" t="str">
        <f>IFERROR(__xludf.DUMMYFUNCTION("if(or(QuotesCheckJudge="""",and(QuotesCheckJudge = ""primeiro"", QuotesCheckChallengeRecommendation1 &lt;&gt; """")), filter('Quotes-Check'!E223:F223, 'Quotes-Check'!E223:F223&lt;&gt;""glugluieie""),if(and(QuotesCheckJudge = ""segundo"", QuotesCheckChallengeRecommend"&amp;"ation2 &lt;&gt; """"), filter('Quotes-Check'!I223:J223, 'Quotes-Check'!I223:J223&lt;&gt;""glugluieie""),""""))"),"recommendation")</f>
        <v>recommendation</v>
      </c>
      <c r="F223" s="22" t="str">
        <f>IFERROR(__xludf.DUMMYFUNCTION("""COMPUTED_VALUE"""),"De já deixar tudo pronto pra evitar problemas e perder o foco e a essência ali da turma.")</f>
        <v>De já deixar tudo pronto pra evitar problemas e perder o foco e a essência ali da turma.</v>
      </c>
      <c r="G223" s="22" t="str">
        <f>if(QuotesCheckJudgeAbstract&lt;&gt;"",QuotesCheckJudgeAbstract,if(or(QuotesCheckJudge="",and(QuotesCheckJudge = "primeiro", QuotesCheckChallengeRecommendation1 &lt;&gt; "")), QuotesCheckAbstract1,if(and(QuotesCheckJudge = "segundo", QuotesCheckChallengeRecommendation2 &lt;&gt; ""), QuotesCheckAbstract2,"")))</f>
        <v>Start a class with a pre-organized structure.</v>
      </c>
    </row>
    <row r="224">
      <c r="A224" s="22">
        <f>IFERROR(__xludf.DUMMYFUNCTION("if(or(QuotesCheckJudge="""",and(QuotesCheckJudge = ""primeiro"", QuotesCheckChallengeRecommendation1 &lt;&gt; """"),and(QuotesCheckJudge = ""segundo"", QuotesCheckChallengeRecommendation2 &lt;&gt; """")), filter('Quotes-Check'!A224:D224, 'Quotes-Check'!A224:D224&lt;&gt;""g"&amp;"lugluieie""),"""")"),7.0)</f>
        <v>7</v>
      </c>
      <c r="B224" s="22">
        <f>IFERROR(__xludf.DUMMYFUNCTION("""COMPUTED_VALUE"""),1.0)</f>
        <v>1</v>
      </c>
      <c r="C224" s="2" t="str">
        <f>IFERROR(__xludf.DUMMYFUNCTION("""COMPUTED_VALUE"""),"R1 / R2")</f>
        <v>R1 / R2</v>
      </c>
      <c r="D224" s="22" t="str">
        <f>IFERROR(__xludf.DUMMYFUNCTION("""COMPUTED_VALUE"""),"General Challenges and Recommendations")</f>
        <v>General Challenges and Recommendations</v>
      </c>
      <c r="E224" s="46" t="str">
        <f>IFERROR(__xludf.DUMMYFUNCTION("if(or(QuotesCheckJudge="""",and(QuotesCheckJudge = ""primeiro"", QuotesCheckChallengeRecommendation1 &lt;&gt; """")), filter('Quotes-Check'!E224:F224, 'Quotes-Check'!E224:F224&lt;&gt;""glugluieie""),if(and(QuotesCheckJudge = ""segundo"", QuotesCheckChallengeRecommend"&amp;"ation2 &lt;&gt; """"), filter('Quotes-Check'!I224:J224, 'Quotes-Check'!I224:J224&lt;&gt;""glugluieie""),""""))"),"challenge")</f>
        <v>challenge</v>
      </c>
      <c r="F224" s="22" t="str">
        <f>IFERROR(__xludf.DUMMYFUNCTION("""COMPUTED_VALUE"""),"Então, toda essa rastreabilidade do que foi feito para com o que eles vão fazer, foi a parte bem difícil [...] Então, não dá pra você pensar em fazer um negócio só teórico, você tem que ter prática, não dá pra ser só simplesmente exercícios práticos, tem "&amp;"que ter toda uma jornada, uma sequência de raciocínio bem estabelecida. Isso foi bem complicado de conseguir atingir esse tópico.")</f>
        <v>Então, toda essa rastreabilidade do que foi feito para com o que eles vão fazer, foi a parte bem difícil [...] Então, não dá pra você pensar em fazer um negócio só teórico, você tem que ter prática, não dá pra ser só simplesmente exercícios práticos, tem que ter toda uma jornada, uma sequência de raciocínio bem estabelecida. Isso foi bem complicado de conseguir atingir esse tópico.</v>
      </c>
      <c r="G224"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in structuring the learning journey.</v>
      </c>
    </row>
    <row r="225">
      <c r="A225" s="22">
        <f>IFERROR(__xludf.DUMMYFUNCTION("if(or(QuotesCheckJudge="""",and(QuotesCheckJudge = ""primeiro"", QuotesCheckChallengeRecommendation1 &lt;&gt; """"),and(QuotesCheckJudge = ""segundo"", QuotesCheckChallengeRecommendation2 &lt;&gt; """")), filter('Quotes-Check'!A225:D225, 'Quotes-Check'!A225:D225&lt;&gt;""g"&amp;"lugluieie""),"""")"),7.0)</f>
        <v>7</v>
      </c>
      <c r="B225" s="22">
        <f>IFERROR(__xludf.DUMMYFUNCTION("""COMPUTED_VALUE"""),1.0)</f>
        <v>1</v>
      </c>
      <c r="C225" s="40" t="str">
        <f>IFERROR(__xludf.DUMMYFUNCTION("""COMPUTED_VALUE"""),"R1 / R2")</f>
        <v>R1 / R2</v>
      </c>
      <c r="D225" s="22" t="str">
        <f>IFERROR(__xludf.DUMMYFUNCTION("""COMPUTED_VALUE"""),"General Challenges and Recommendations")</f>
        <v>General Challenges and Recommendations</v>
      </c>
      <c r="E225" s="46" t="str">
        <f>IFERROR(__xludf.DUMMYFUNCTION("if(or(QuotesCheckJudge="""",and(QuotesCheckJudge = ""primeiro"", QuotesCheckChallengeRecommendation1 &lt;&gt; """")), filter('Quotes-Check'!E225:F225, 'Quotes-Check'!E225:F225&lt;&gt;""glugluieie""),if(and(QuotesCheckJudge = ""segundo"", QuotesCheckChallengeRecommend"&amp;"ation2 &lt;&gt; """"), filter('Quotes-Check'!I225:J225, 'Quotes-Check'!I225:J225&lt;&gt;""glugluieie""),""""))"),"recommendation")</f>
        <v>recommendation</v>
      </c>
      <c r="F225" s="22" t="str">
        <f>IFERROR(__xludf.DUMMYFUNCTION("""COMPUTED_VALUE"""),"Não dá pra você ensinar DevOps só na teoria, você tem que vivenciar, você tem que ter experimentações práticas para isso.")</f>
        <v>Não dá pra você ensinar DevOps só na teoria, você tem que vivenciar, você tem que ter experimentações práticas para isso.</v>
      </c>
      <c r="G225" s="22" t="str">
        <f>if(QuotesCheckJudgeAbstract&lt;&gt;"",QuotesCheckJudgeAbstract,if(or(QuotesCheckJudge="",and(QuotesCheckJudge = "primeiro", QuotesCheckChallengeRecommendation1 &lt;&gt; "")), QuotesCheckAbstract1,if(and(QuotesCheckJudge = "segundo", QuotesCheckChallengeRecommendation2 &lt;&gt; ""), QuotesCheckAbstract2,"")))</f>
        <v>Teaching devops should be practical, not just theoretical.</v>
      </c>
    </row>
    <row r="226">
      <c r="A226" s="22">
        <f>IFERROR(__xludf.DUMMYFUNCTION("if(or(QuotesCheckJudge="""",and(QuotesCheckJudge = ""primeiro"", QuotesCheckChallengeRecommendation1 &lt;&gt; """"),and(QuotesCheckJudge = ""segundo"", QuotesCheckChallengeRecommendation2 &lt;&gt; """")), filter('Quotes-Check'!A226:D226, 'Quotes-Check'!A226:D226&lt;&gt;""g"&amp;"lugluieie""),"""")"),7.0)</f>
        <v>7</v>
      </c>
      <c r="B226" s="22">
        <f>IFERROR(__xludf.DUMMYFUNCTION("""COMPUTED_VALUE"""),1.0)</f>
        <v>1</v>
      </c>
      <c r="C226" s="40" t="str">
        <f>IFERROR(__xludf.DUMMYFUNCTION("""COMPUTED_VALUE"""),"R1 / R2")</f>
        <v>R1 / R2</v>
      </c>
      <c r="D226" s="22" t="str">
        <f>IFERROR(__xludf.DUMMYFUNCTION("""COMPUTED_VALUE"""),"General Challenges and Recommendations")</f>
        <v>General Challenges and Recommendations</v>
      </c>
      <c r="E226" s="46" t="str">
        <f>IFERROR(__xludf.DUMMYFUNCTION("if(or(QuotesCheckJudge="""",and(QuotesCheckJudge = ""primeiro"", QuotesCheckChallengeRecommendation1 &lt;&gt; """")), filter('Quotes-Check'!E226:F226, 'Quotes-Check'!E226:F226&lt;&gt;""glugluieie""),if(and(QuotesCheckJudge = ""segundo"", QuotesCheckChallengeRecommend"&amp;"ation2 &lt;&gt; """"), filter('Quotes-Check'!I226:J226, 'Quotes-Check'!I226:J226&lt;&gt;""glugluieie""),""""))"),"recommendation")</f>
        <v>recommendation</v>
      </c>
      <c r="F226" s="22" t="str">
        <f>IFERROR(__xludf.DUMMYFUNCTION("""COMPUTED_VALUE""")," construir toda essa jornada com base em atividades ou missões práticas, incrementais e que estejam todas correlacionadas para que as lições aprendidas durante essas atividades práticas e revisitação da teoria do conhecimento, possam desaguar num projeto "&amp;"que envolve um conjunto de tomadas de decisão, que também vai além dos assuntos teoricamente abordados na sala")</f>
        <v> construir toda essa jornada com base em atividades ou missões práticas, incrementais e que estejam todas correlacionadas para que as lições aprendidas durante essas atividades práticas e revisitação da teoria do conhecimento, possam desaguar num projeto que envolve um conjunto de tomadas de decisão, que também vai além dos assuntos teoricamente abordados na sala</v>
      </c>
      <c r="G226" s="22" t="str">
        <f>if(QuotesCheckJudgeAbstract&lt;&gt;"",QuotesCheckJudgeAbstract,if(or(QuotesCheckJudge="",and(QuotesCheckJudge = "primeiro", QuotesCheckChallengeRecommendation1 &lt;&gt; "")), QuotesCheckAbstract1,if(and(QuotesCheckJudge = "segundo", QuotesCheckChallengeRecommendation2 &lt;&gt; ""), QuotesCheckAbstract2,"")))</f>
        <v>Build an incremental teaching journey based on activities and missions, always combining practical activities with theoretical knowledge.</v>
      </c>
    </row>
    <row r="227">
      <c r="A227" s="22">
        <f>IFERROR(__xludf.DUMMYFUNCTION("if(or(QuotesCheckJudge="""",and(QuotesCheckJudge = ""primeiro"", QuotesCheckChallengeRecommendation1 &lt;&gt; """"),and(QuotesCheckJudge = ""segundo"", QuotesCheckChallengeRecommendation2 &lt;&gt; """")), filter('Quotes-Check'!A227:D227, 'Quotes-Check'!A227:D227&lt;&gt;""g"&amp;"lugluieie""),"""")"),7.0)</f>
        <v>7</v>
      </c>
      <c r="B227" s="22">
        <f>IFERROR(__xludf.DUMMYFUNCTION("""COMPUTED_VALUE"""),1.0)</f>
        <v>1</v>
      </c>
      <c r="C227" s="40" t="str">
        <f>IFERROR(__xludf.DUMMYFUNCTION("""COMPUTED_VALUE"""),"R1 / R2")</f>
        <v>R1 / R2</v>
      </c>
      <c r="D227" s="22" t="str">
        <f>IFERROR(__xludf.DUMMYFUNCTION("""COMPUTED_VALUE"""),"General Challenges and Recommendations")</f>
        <v>General Challenges and Recommendations</v>
      </c>
      <c r="E227" s="46" t="str">
        <f>IFERROR(__xludf.DUMMYFUNCTION("if(or(QuotesCheckJudge="""",and(QuotesCheckJudge = ""primeiro"", QuotesCheckChallengeRecommendation1 &lt;&gt; """")), filter('Quotes-Check'!E227:F227, 'Quotes-Check'!E227:F227&lt;&gt;""glugluieie""),if(and(QuotesCheckJudge = ""segundo"", QuotesCheckChallengeRecommend"&amp;"ation2 &lt;&gt; """"), filter('Quotes-Check'!I227:J227, 'Quotes-Check'!I227:J227&lt;&gt;""glugluieie""),""""))"),"recommendation")</f>
        <v>recommendation</v>
      </c>
      <c r="F227" s="22" t="str">
        <f>IFERROR(__xludf.DUMMYFUNCTION("""COMPUTED_VALUE"""),"trabalhar tanto os aspectos teóricos necessários para entendimento do porquê das coisas em DevOps são em SRE como um todo [...] você tem que ter isso. ")</f>
        <v>trabalhar tanto os aspectos teóricos necessários para entendimento do porquê das coisas em DevOps são em SRE como um todo [...] você tem que ter isso. </v>
      </c>
      <c r="G227" s="22" t="str">
        <f>if(QuotesCheckJudgeAbstract&lt;&gt;"",QuotesCheckJudgeAbstract,if(or(QuotesCheckJudge="",and(QuotesCheckJudge = "primeiro", QuotesCheckChallengeRecommendation1 &lt;&gt; "")), QuotesCheckAbstract1,if(and(QuotesCheckJudge = "segundo", QuotesCheckChallengeRecommendation2 &lt;&gt; ""), QuotesCheckAbstract2,"")))</f>
        <v>Relate devops to site reliability engineering (sre) for students.</v>
      </c>
    </row>
    <row r="228">
      <c r="A228" s="22">
        <f>IFERROR(__xludf.DUMMYFUNCTION("if(or(QuotesCheckJudge="""",and(QuotesCheckJudge = ""primeiro"", QuotesCheckChallengeRecommendation1 &lt;&gt; """"),and(QuotesCheckJudge = ""segundo"", QuotesCheckChallengeRecommendation2 &lt;&gt; """")), filter('Quotes-Check'!A228:D228, 'Quotes-Check'!A228:D228&lt;&gt;""g"&amp;"lugluieie""),"""")"),7.0)</f>
        <v>7</v>
      </c>
      <c r="B228" s="22">
        <f>IFERROR(__xludf.DUMMYFUNCTION("""COMPUTED_VALUE"""),1.0)</f>
        <v>1</v>
      </c>
      <c r="C228" s="40" t="str">
        <f>IFERROR(__xludf.DUMMYFUNCTION("""COMPUTED_VALUE"""),"R1 / R2")</f>
        <v>R1 / R2</v>
      </c>
      <c r="D228" s="22" t="str">
        <f>IFERROR(__xludf.DUMMYFUNCTION("""COMPUTED_VALUE"""),"General Challenges and Recommendations")</f>
        <v>General Challenges and Recommendations</v>
      </c>
      <c r="E228" s="46" t="str">
        <f>IFERROR(__xludf.DUMMYFUNCTION("if(or(QuotesCheckJudge="""",and(QuotesCheckJudge = ""primeiro"", QuotesCheckChallengeRecommendation1 &lt;&gt; """")), filter('Quotes-Check'!E228:F228, 'Quotes-Check'!E228:F228&lt;&gt;""glugluieie""),if(and(QuotesCheckJudge = ""segundo"", QuotesCheckChallengeRecommend"&amp;"ation2 &lt;&gt; """"), filter('Quotes-Check'!I228:J228, 'Quotes-Check'!I228:J228&lt;&gt;""glugluieie""),""""))"),"recommendation")</f>
        <v>recommendation</v>
      </c>
      <c r="F228" s="22" t="str">
        <f>IFERROR(__xludf.DUMMYFUNCTION("""COMPUTED_VALUE"""),"e eu acho que prova não ia ser um negócio legal, senão ia ser mais ou menos certificação da, da AWS, por exemplo, do Azure, Google, e não é este propósito. [...] Fazer prova, escrita, aberta assim eu não gosto, eu não gosto do modelo de prova como avaliaç"&amp;"ão, eu não acho que é legal, prefiro trabalhar com coisas mais práticas. ")</f>
        <v>e eu acho que prova não ia ser um negócio legal, senão ia ser mais ou menos certificação da, da AWS, por exemplo, do Azure, Google, e não é este propósito. [...] Fazer prova, escrita, aberta assim eu não gosto, eu não gosto do modelo de prova como avaliação, eu não acho que é legal, prefiro trabalhar com coisas mais práticas. </v>
      </c>
      <c r="G228" s="22" t="str">
        <f>if(QuotesCheckJudgeAbstract&lt;&gt;"",QuotesCheckJudgeAbstract,if(or(QuotesCheckJudge="",and(QuotesCheckJudge = "primeiro", QuotesCheckChallengeRecommendation1 &lt;&gt; "")), QuotesCheckAbstract1,if(and(QuotesCheckJudge = "segundo", QuotesCheckChallengeRecommendation2 &lt;&gt; ""), QuotesCheckAbstract2,"")))</f>
        <v>The assessment must be practical.</v>
      </c>
    </row>
    <row r="229">
      <c r="A229" s="22">
        <f>IFERROR(__xludf.DUMMYFUNCTION("if(or(QuotesCheckJudge="""",and(QuotesCheckJudge = ""primeiro"", QuotesCheckChallengeRecommendation1 &lt;&gt; """"),and(QuotesCheckJudge = ""segundo"", QuotesCheckChallengeRecommendation2 &lt;&gt; """")), filter('Quotes-Check'!A229:D229, 'Quotes-Check'!A229:D229&lt;&gt;""g"&amp;"lugluieie""),"""")"),7.0)</f>
        <v>7</v>
      </c>
      <c r="B229" s="22">
        <f>IFERROR(__xludf.DUMMYFUNCTION("""COMPUTED_VALUE"""),1.0)</f>
        <v>1</v>
      </c>
      <c r="C229" s="40" t="str">
        <f>IFERROR(__xludf.DUMMYFUNCTION("""COMPUTED_VALUE"""),"R1 / R2")</f>
        <v>R1 / R2</v>
      </c>
      <c r="D229" s="22" t="str">
        <f>IFERROR(__xludf.DUMMYFUNCTION("""COMPUTED_VALUE"""),"General Challenges and Recommendations")</f>
        <v>General Challenges and Recommendations</v>
      </c>
      <c r="E229" s="46" t="str">
        <f>IFERROR(__xludf.DUMMYFUNCTION("if(or(QuotesCheckJudge="""",and(QuotesCheckJudge = ""primeiro"", QuotesCheckChallengeRecommendation1 &lt;&gt; """")), filter('Quotes-Check'!E229:F229, 'Quotes-Check'!E229:F229&lt;&gt;""glugluieie""),if(and(QuotesCheckJudge = ""segundo"", QuotesCheckChallengeRecommend"&amp;"ation2 &lt;&gt; """"), filter('Quotes-Check'!I229:J229, 'Quotes-Check'!I229:J229&lt;&gt;""glugluieie""),""""))"),"recommendation")</f>
        <v>recommendation</v>
      </c>
      <c r="F229" s="22" t="str">
        <f>IFERROR(__xludf.DUMMYFUNCTION("""COMPUTED_VALUE"""),"Então, eu procuro, sempre, nessas minhas atividades, colocar um um Delta de tomada de decisão que compete ao time, né? Aos alunos e que obviamente vai avaliar o entendimento deles perante todas as discussões do semestre. Então, todas as decisões são válid"&amp;"as, obviamente, né?")</f>
        <v>Então, eu procuro, sempre, nessas minhas atividades, colocar um um Delta de tomada de decisão que compete ao time, né? Aos alunos e que obviamente vai avaliar o entendimento deles perante todas as discussões do semestre. Então, todas as decisões são válidas, obviamente, né?</v>
      </c>
      <c r="G229" s="22" t="str">
        <f>if(QuotesCheckJudgeAbstract&lt;&gt;"",QuotesCheckJudgeAbstract,if(or(QuotesCheckJudge="",and(QuotesCheckJudge = "primeiro", QuotesCheckChallengeRecommendation1 &lt;&gt; "")), QuotesCheckAbstract1,if(and(QuotesCheckJudge = "segundo", QuotesCheckChallengeRecommendation2 &lt;&gt; ""), QuotesCheckAbstract2,"")))</f>
        <v>Promote and evaluate students' independent decision-making in the learning process.</v>
      </c>
    </row>
    <row r="230">
      <c r="A230" s="22">
        <f>IFERROR(__xludf.DUMMYFUNCTION("if(or(QuotesCheckJudge="""",and(QuotesCheckJudge = ""primeiro"", QuotesCheckChallengeRecommendation1 &lt;&gt; """"),and(QuotesCheckJudge = ""segundo"", QuotesCheckChallengeRecommendation2 &lt;&gt; """")), filter('Quotes-Check'!A230:D230, 'Quotes-Check'!A230:D230&lt;&gt;""g"&amp;"lugluieie""),"""")"),7.0)</f>
        <v>7</v>
      </c>
      <c r="B230" s="22">
        <f>IFERROR(__xludf.DUMMYFUNCTION("""COMPUTED_VALUE"""),2.0)</f>
        <v>2</v>
      </c>
      <c r="C230" s="2" t="str">
        <f>IFERROR(__xludf.DUMMYFUNCTION("""COMPUTED_VALUE"""),"R2 / R3")</f>
        <v>R2 / R3</v>
      </c>
      <c r="D230" s="22" t="str">
        <f>IFERROR(__xludf.DUMMYFUNCTION("""COMPUTED_VALUE"""),"Environment Setup")</f>
        <v>Environment Setup</v>
      </c>
      <c r="E230" s="46" t="str">
        <f>IFERROR(__xludf.DUMMYFUNCTION("if(or(QuotesCheckJudge="""",and(QuotesCheckJudge = ""primeiro"", QuotesCheckChallengeRecommendation1 &lt;&gt; """")), filter('Quotes-Check'!E230:F230, 'Quotes-Check'!E230:F230&lt;&gt;""glugluieie""),if(and(QuotesCheckJudge = ""segundo"", QuotesCheckChallengeRecommend"&amp;"ation2 &lt;&gt; """"), filter('Quotes-Check'!I230:J230, 'Quotes-Check'!I230:J230&lt;&gt;""glugluieie""),""""))"),"challenge")</f>
        <v>challenge</v>
      </c>
      <c r="F230" s="22" t="str">
        <f>IFERROR(__xludf.DUMMYFUNCTION("""COMPUTED_VALUE"""),"Isso é um perrengue, porque o que acontece: existem diversas ferramentas e a gente sempre tem que fechar em algumas para o caráter didático da experimentação.")</f>
        <v>Isso é um perrengue, porque o que acontece: existem diversas ferramentas e a gente sempre tem que fechar em algumas para o caráter didático da experimentação.</v>
      </c>
      <c r="G230" s="22" t="str">
        <f>if(QuotesCheckJudgeAbstract&lt;&gt;"",QuotesCheckJudgeAbstract,if(or(QuotesCheckJudge="",and(QuotesCheckJudge = "primeiro", QuotesCheckChallengeRecommendation1 &lt;&gt; "")), QuotesCheckAbstract1,if(and(QuotesCheckJudge = "segundo", QuotesCheckChallengeRecommendation2 &lt;&gt; ""), QuotesCheckAbstract2,"")))</f>
        <v>There are many DevOps tools to choose from.</v>
      </c>
    </row>
    <row r="231">
      <c r="A231" s="22">
        <f>IFERROR(__xludf.DUMMYFUNCTION("if(or(QuotesCheckJudge="""",and(QuotesCheckJudge = ""primeiro"", QuotesCheckChallengeRecommendation1 &lt;&gt; """"),and(QuotesCheckJudge = ""segundo"", QuotesCheckChallengeRecommendation2 &lt;&gt; """")), filter('Quotes-Check'!A231:D231, 'Quotes-Check'!A231:D231&lt;&gt;""g"&amp;"lugluieie""),"""")"),7.0)</f>
        <v>7</v>
      </c>
      <c r="B231" s="22">
        <f>IFERROR(__xludf.DUMMYFUNCTION("""COMPUTED_VALUE"""),2.0)</f>
        <v>2</v>
      </c>
      <c r="C231" s="2" t="str">
        <f>IFERROR(__xludf.DUMMYFUNCTION("""COMPUTED_VALUE"""),"R2 / R3")</f>
        <v>R2 / R3</v>
      </c>
      <c r="D231" s="22" t="str">
        <f>IFERROR(__xludf.DUMMYFUNCTION("""COMPUTED_VALUE"""),"Environment Setup")</f>
        <v>Environment Setup</v>
      </c>
      <c r="E231" s="46" t="str">
        <f>IFERROR(__xludf.DUMMYFUNCTION("if(or(QuotesCheckJudge="""",and(QuotesCheckJudge = ""primeiro"", QuotesCheckChallengeRecommendation1 &lt;&gt; """")), filter('Quotes-Check'!E231:F231, 'Quotes-Check'!E231:F231&lt;&gt;""glugluieie""),if(and(QuotesCheckJudge = ""segundo"", QuotesCheckChallengeRecommend"&amp;"ation2 &lt;&gt; """"), filter('Quotes-Check'!I231:J231, 'Quotes-Check'!I231:J231&lt;&gt;""glugluieie""),""""))"),"challenge")</f>
        <v>challenge</v>
      </c>
      <c r="F231" s="22" t="str">
        <f>IFERROR(__xludf.DUMMYFUNCTION("""COMPUTED_VALUE"""),"não sobra tempo pra isso de, por exemplo, estruturar ambientes complexos [...]  eu sei que não é realidade no mercado, muito pouco são as empresas que eu vi, eu tive contato que montava o seu ambiente do zero na unha, num conjunto de servidores internos.")</f>
        <v>não sobra tempo pra isso de, por exemplo, estruturar ambientes complexos [...]  eu sei que não é realidade no mercado, muito pouco são as empresas que eu vi, eu tive contato que montava o seu ambiente do zero na unha, num conjunto de servidores internos.</v>
      </c>
      <c r="G231" s="22" t="str">
        <f>if(QuotesCheckJudgeAbstract&lt;&gt;"",QuotesCheckJudgeAbstract,if(or(QuotesCheckJudge="",and(QuotesCheckJudge = "primeiro", QuotesCheckChallengeRecommendation1 &lt;&gt; "")), QuotesCheckAbstract1,if(and(QuotesCheckJudge = "segundo", QuotesCheckChallengeRecommendation2 &lt;&gt; ""), QuotesCheckAbstract2,"")))</f>
        <v>Lack of time to structure more complex environments with students.</v>
      </c>
    </row>
    <row r="232">
      <c r="A232" s="22">
        <f>IFERROR(__xludf.DUMMYFUNCTION("if(or(QuotesCheckJudge="""",and(QuotesCheckJudge = ""primeiro"", QuotesCheckChallengeRecommendation1 &lt;&gt; """"),and(QuotesCheckJudge = ""segundo"", QuotesCheckChallengeRecommendation2 &lt;&gt; """")), filter('Quotes-Check'!A232:D232, 'Quotes-Check'!A232:D232&lt;&gt;""g"&amp;"lugluieie""),"""")"),7.0)</f>
        <v>7</v>
      </c>
      <c r="B232" s="22">
        <f>IFERROR(__xludf.DUMMYFUNCTION("""COMPUTED_VALUE"""),2.0)</f>
        <v>2</v>
      </c>
      <c r="C232" s="40" t="str">
        <f>IFERROR(__xludf.DUMMYFUNCTION("""COMPUTED_VALUE"""),"R2 / R3")</f>
        <v>R2 / R3</v>
      </c>
      <c r="D232" s="22" t="str">
        <f>IFERROR(__xludf.DUMMYFUNCTION("""COMPUTED_VALUE"""),"Environment Setup")</f>
        <v>Environment Setup</v>
      </c>
      <c r="E232" s="46" t="str">
        <f>IFERROR(__xludf.DUMMYFUNCTION("if(or(QuotesCheckJudge="""",and(QuotesCheckJudge = ""primeiro"", QuotesCheckChallengeRecommendation1 &lt;&gt; """")), filter('Quotes-Check'!E232:F232, 'Quotes-Check'!E232:F232&lt;&gt;""glugluieie""),if(and(QuotesCheckJudge = ""segundo"", QuotesCheckChallengeRecommend"&amp;"ation2 &lt;&gt; """"), filter('Quotes-Check'!I232:J232, 'Quotes-Check'!I232:J232&lt;&gt;""glugluieie""),""""))"),"recommendation")</f>
        <v>recommendation</v>
      </c>
      <c r="F232" s="22" t="str">
        <f>IFERROR(__xludf.DUMMYFUNCTION("""COMPUTED_VALUE"""),"todo mundo já tá usando o Google ou a Amazon, com seus ambientes Kubernetes disponibilizados para você utilizar.")</f>
        <v>todo mundo já tá usando o Google ou a Amazon, com seus ambientes Kubernetes disponibilizados para você utilizar.</v>
      </c>
      <c r="G232" s="22" t="str">
        <f>if(QuotesCheckJudgeAbstract&lt;&gt;"",QuotesCheckJudgeAbstract,if(or(QuotesCheckJudge="",and(QuotesCheckJudge = "primeiro", QuotesCheckChallengeRecommendation1 &lt;&gt; "")), QuotesCheckAbstract1,if(and(QuotesCheckJudge = "segundo", QuotesCheckChallengeRecommendation2 &lt;&gt; ""), QuotesCheckAbstract2,"")))</f>
        <v>Use available cloud services (AWS, Google) with Kubernetes.</v>
      </c>
    </row>
    <row r="233">
      <c r="A233" s="22">
        <f>IFERROR(__xludf.DUMMYFUNCTION("if(or(QuotesCheckJudge="""",and(QuotesCheckJudge = ""primeiro"", QuotesCheckChallengeRecommendation1 &lt;&gt; """"),and(QuotesCheckJudge = ""segundo"", QuotesCheckChallengeRecommendation2 &lt;&gt; """")), filter('Quotes-Check'!A233:D233, 'Quotes-Check'!A233:D233&lt;&gt;""g"&amp;"lugluieie""),"""")"),7.0)</f>
        <v>7</v>
      </c>
      <c r="B233" s="22">
        <f>IFERROR(__xludf.DUMMYFUNCTION("""COMPUTED_VALUE"""),3.0)</f>
        <v>3</v>
      </c>
      <c r="C233" s="40" t="str">
        <f>IFERROR(__xludf.DUMMYFUNCTION("""COMPUTED_VALUE"""),"R1 / R3")</f>
        <v>R1 / R3</v>
      </c>
      <c r="D233" s="22" t="str">
        <f>IFERROR(__xludf.DUMMYFUNCTION("""COMPUTED_VALUE"""),"DevOps Concepts")</f>
        <v>DevOps Concepts</v>
      </c>
      <c r="E233" s="46" t="str">
        <f>IFERROR(__xludf.DUMMYFUNCTION("if(or(QuotesCheckJudge="""",and(QuotesCheckJudge = ""primeiro"", QuotesCheckChallengeRecommendation1 &lt;&gt; """")), filter('Quotes-Check'!E233:F233, 'Quotes-Check'!E233:F233&lt;&gt;""glugluieie""),if(and(QuotesCheckJudge = ""segundo"", QuotesCheckChallengeRecommend"&amp;"ation2 &lt;&gt; """"), filter('Quotes-Check'!I233:J233, 'Quotes-Check'!I233:J233&lt;&gt;""glugluieie""),""""))"),"recommendation")</f>
        <v>recommendation</v>
      </c>
      <c r="F233" s="22" t="str">
        <f>IFERROR(__xludf.DUMMYFUNCTION("""COMPUTED_VALUE"""),"Assim, DevOps e SRE são conceitos que nasceram muito mais fortemente na prática do que no estado da arte, ou seja, muito mais na indústria do que necessariamente na universidade. Então você tratar desses conceitos sem fazer uma real explanação, ou trazer "&amp;"os principais players de como eles fizeram e por que eles fizeram, é fundamental. ")</f>
        <v>Assim, DevOps e SRE são conceitos que nasceram muito mais fortemente na prática do que no estado da arte, ou seja, muito mais na indústria do que necessariamente na universidade. Então você tratar desses conceitos sem fazer uma real explanação, ou trazer os principais players de como eles fizeram e por que eles fizeram, é fundamental. </v>
      </c>
      <c r="G233" s="22" t="str">
        <f>if(QuotesCheckJudgeAbstract&lt;&gt;"",QuotesCheckJudgeAbstract,if(or(QuotesCheckJudge="",and(QuotesCheckJudge = "primeiro", QuotesCheckChallengeRecommendation1 &lt;&gt; "")), QuotesCheckAbstract1,if(and(QuotesCheckJudge = "segundo", QuotesCheckChallengeRecommendation2 &lt;&gt; ""), QuotesCheckAbstract2,"")))</f>
        <v>Show the historical importance of DevOps and SRE concepts from the main players in the industry.</v>
      </c>
    </row>
    <row r="234">
      <c r="A234" s="22">
        <f>IFERROR(__xludf.DUMMYFUNCTION("if(or(QuotesCheckJudge="""",and(QuotesCheckJudge = ""primeiro"", QuotesCheckChallengeRecommendation1 &lt;&gt; """"),and(QuotesCheckJudge = ""segundo"", QuotesCheckChallengeRecommendation2 &lt;&gt; """")), filter('Quotes-Check'!A234:D234, 'Quotes-Check'!A234:D234&lt;&gt;""g"&amp;"lugluieie""),"""")"),7.0)</f>
        <v>7</v>
      </c>
      <c r="B234" s="22">
        <f>IFERROR(__xludf.DUMMYFUNCTION("""COMPUTED_VALUE"""),3.0)</f>
        <v>3</v>
      </c>
      <c r="C234" s="40" t="str">
        <f>IFERROR(__xludf.DUMMYFUNCTION("""COMPUTED_VALUE"""),"R1 / R3")</f>
        <v>R1 / R3</v>
      </c>
      <c r="D234" s="22" t="str">
        <f>IFERROR(__xludf.DUMMYFUNCTION("""COMPUTED_VALUE"""),"DevOps Concepts")</f>
        <v>DevOps Concepts</v>
      </c>
      <c r="E234" s="46" t="str">
        <f>IFERROR(__xludf.DUMMYFUNCTION("if(or(QuotesCheckJudge="""",and(QuotesCheckJudge = ""primeiro"", QuotesCheckChallengeRecommendation1 &lt;&gt; """")), filter('Quotes-Check'!E234:F234, 'Quotes-Check'!E234:F234&lt;&gt;""glugluieie""),if(and(QuotesCheckJudge = ""segundo"", QuotesCheckChallengeRecommend"&amp;"ation2 &lt;&gt; """"), filter('Quotes-Check'!I234:J234, 'Quotes-Check'!I234:J234&lt;&gt;""glugluieie""),""""))"),"recommendation")</f>
        <v>recommendation</v>
      </c>
      <c r="F234" s="22" t="str">
        <f>IFERROR(__xludf.DUMMYFUNCTION("""COMPUTED_VALUE"""),"boa parte das referências, dos casos mais interessantes que eu considerei pra levar pra sala são posts na INFO2, no Metzone, Hacker News, posts do Twitter, estudo de caso do Airbnb, Glitch, Orbitz e tal; outros casos desses que são muito mais interessante"&amp;"s do que necessariamente, livros ou artigos “acadêmicos científicos”,")</f>
        <v>boa parte das referências, dos casos mais interessantes que eu considerei pra levar pra sala são posts na INFO2, no Metzone, Hacker News, posts do Twitter, estudo de caso do Airbnb, Glitch, Orbitz e tal; outros casos desses que são muito mais interessantes do que necessariamente, livros ou artigos “acadêmicos científicos”,</v>
      </c>
      <c r="G234" s="22" t="str">
        <f>if(QuotesCheckJudgeAbstract&lt;&gt;"",QuotesCheckJudgeAbstract,if(or(QuotesCheckJudge="",and(QuotesCheckJudge = "primeiro", QuotesCheckChallengeRecommendation1 &lt;&gt; "")), QuotesCheckAbstract1,if(and(QuotesCheckJudge = "segundo", QuotesCheckChallengeRecommendation2 &lt;&gt; ""), QuotesCheckAbstract2,"")))</f>
        <v>Information in gray literature is more interesting to illustrate DevOps use cases: posts on INFO2, Metzone, Hacker News, Twitter, Airbnb case studies, Glitch, Orbitz.</v>
      </c>
    </row>
    <row r="235">
      <c r="A235" s="22">
        <f>IFERROR(__xludf.DUMMYFUNCTION("if(or(QuotesCheckJudge="""",and(QuotesCheckJudge = ""primeiro"", QuotesCheckChallengeRecommendation1 &lt;&gt; """"),and(QuotesCheckJudge = ""segundo"", QuotesCheckChallengeRecommendation2 &lt;&gt; """")), filter('Quotes-Check'!A235:D235, 'Quotes-Check'!A235:D235&lt;&gt;""g"&amp;"lugluieie""),"""")"),7.0)</f>
        <v>7</v>
      </c>
      <c r="B235" s="22">
        <f>IFERROR(__xludf.DUMMYFUNCTION("""COMPUTED_VALUE"""),3.0)</f>
        <v>3</v>
      </c>
      <c r="C235" s="40" t="str">
        <f>IFERROR(__xludf.DUMMYFUNCTION("""COMPUTED_VALUE"""),"R1 / R3")</f>
        <v>R1 / R3</v>
      </c>
      <c r="D235" s="22" t="str">
        <f>IFERROR(__xludf.DUMMYFUNCTION("""COMPUTED_VALUE"""),"DevOps Concepts")</f>
        <v>DevOps Concepts</v>
      </c>
      <c r="E235" s="46" t="str">
        <f>IFERROR(__xludf.DUMMYFUNCTION("if(or(QuotesCheckJudge="""",and(QuotesCheckJudge = ""primeiro"", QuotesCheckChallengeRecommendation1 &lt;&gt; """")), filter('Quotes-Check'!E235:F235, 'Quotes-Check'!E235:F235&lt;&gt;""glugluieie""),if(and(QuotesCheckJudge = ""segundo"", QuotesCheckChallengeRecommend"&amp;"ation2 &lt;&gt; """"), filter('Quotes-Check'!I235:J235, 'Quotes-Check'!I235:J235&lt;&gt;""glugluieie""),""""))"),"recommendation")</f>
        <v>recommendation</v>
      </c>
      <c r="F235" s="22" t="str">
        <f>IFERROR(__xludf.DUMMYFUNCTION("""COMPUTED_VALUE""")," é trazer o conceito aplicado, aí use uma abordagem tipo CDL, ou PBL, tal, ajuda bastante nisso, porque aí você tem como apresentar o problema e depois mostrar qual o conceito por trás da resolução daquele problema.")</f>
        <v> é trazer o conceito aplicado, aí use uma abordagem tipo CDL, ou PBL, tal, ajuda bastante nisso, porque aí você tem como apresentar o problema e depois mostrar qual o conceito por trás da resolução daquele problema.</v>
      </c>
      <c r="G235" s="22" t="str">
        <f>if(QuotesCheckJudgeAbstract&lt;&gt;"",QuotesCheckJudgeAbstract,if(or(QuotesCheckJudge="",and(QuotesCheckJudge = "primeiro", QuotesCheckChallengeRecommendation1 &lt;&gt; "")), QuotesCheckAbstract1,if(and(QuotesCheckJudge = "segundo", QuotesCheckChallengeRecommendation2 &lt;&gt; ""), QuotesCheckAbstract2,"")))</f>
        <v>Make use of the Comprehensive Distance Learning (CDL) teaching methodology.</v>
      </c>
    </row>
    <row r="236">
      <c r="A236" s="22">
        <f>IFERROR(__xludf.DUMMYFUNCTION("if(or(QuotesCheckJudge="""",and(QuotesCheckJudge = ""primeiro"", QuotesCheckChallengeRecommendation1 &lt;&gt; """"),and(QuotesCheckJudge = ""segundo"", QuotesCheckChallengeRecommendation2 &lt;&gt; """")), filter('Quotes-Check'!A236:D236, 'Quotes-Check'!A236:D236&lt;&gt;""g"&amp;"lugluieie""),"""")"),7.0)</f>
        <v>7</v>
      </c>
      <c r="B236" s="22">
        <f>IFERROR(__xludf.DUMMYFUNCTION("""COMPUTED_VALUE"""),3.0)</f>
        <v>3</v>
      </c>
      <c r="C236" s="40" t="str">
        <f>IFERROR(__xludf.DUMMYFUNCTION("""COMPUTED_VALUE"""),"R1 / R3")</f>
        <v>R1 / R3</v>
      </c>
      <c r="D236" s="22" t="str">
        <f>IFERROR(__xludf.DUMMYFUNCTION("""COMPUTED_VALUE"""),"DevOps Concepts")</f>
        <v>DevOps Concepts</v>
      </c>
      <c r="E236" s="46" t="str">
        <f>IFERROR(__xludf.DUMMYFUNCTION("if(or(QuotesCheckJudge="""",and(QuotesCheckJudge = ""primeiro"", QuotesCheckChallengeRecommendation1 &lt;&gt; """")), filter('Quotes-Check'!E236:F236, 'Quotes-Check'!E236:F236&lt;&gt;""glugluieie""),if(and(QuotesCheckJudge = ""segundo"", QuotesCheckChallengeRecommend"&amp;"ation2 &lt;&gt; """"), filter('Quotes-Check'!I236:J236, 'Quotes-Check'!I236:J236&lt;&gt;""glugluieie""),""""))"),"recommendation")</f>
        <v>recommendation</v>
      </c>
      <c r="F236" s="22" t="str">
        <f>IFERROR(__xludf.DUMMYFUNCTION("""COMPUTED_VALUE""")," é trazer o conceito aplicado, aí use uma abordagem tipo CDL, ou PBL, tal, ajuda bastante nisso, porque aí você tem como apresentar o problema e depois mostrar qual o conceito por trás da resolução daquele problema.")</f>
        <v> é trazer o conceito aplicado, aí use uma abordagem tipo CDL, ou PBL, tal, ajuda bastante nisso, porque aí você tem como apresentar o problema e depois mostrar qual o conceito por trás da resolução daquele problema.</v>
      </c>
      <c r="G236" s="22" t="str">
        <f>if(QuotesCheckJudgeAbstract&lt;&gt;"",QuotesCheckJudgeAbstract,if(or(QuotesCheckJudge="",and(QuotesCheckJudge = "primeiro", QuotesCheckChallengeRecommendation1 &lt;&gt; "")), QuotesCheckAbstract1,if(and(QuotesCheckJudge = "segundo", QuotesCheckChallengeRecommendation2 &lt;&gt; ""), QuotesCheckAbstract2,"")))</f>
        <v>Problem-Based Learning (PBL) is great for teaching DevOps.</v>
      </c>
    </row>
    <row r="237">
      <c r="A237" s="22">
        <f>IFERROR(__xludf.DUMMYFUNCTION("if(or(QuotesCheckJudge="""",and(QuotesCheckJudge = ""primeiro"", QuotesCheckChallengeRecommendation1 &lt;&gt; """"),and(QuotesCheckJudge = ""segundo"", QuotesCheckChallengeRecommendation2 &lt;&gt; """")), filter('Quotes-Check'!A237:D237, 'Quotes-Check'!A237:D237&lt;&gt;""g"&amp;"lugluieie""),"""")"),7.0)</f>
        <v>7</v>
      </c>
      <c r="B237" s="22">
        <f>IFERROR(__xludf.DUMMYFUNCTION("""COMPUTED_VALUE"""),3.0)</f>
        <v>3</v>
      </c>
      <c r="C237" s="2" t="str">
        <f>IFERROR(__xludf.DUMMYFUNCTION("""COMPUTED_VALUE"""),"R1 / R3")</f>
        <v>R1 / R3</v>
      </c>
      <c r="D237" s="22" t="str">
        <f>IFERROR(__xludf.DUMMYFUNCTION("""COMPUTED_VALUE"""),"DevOps Concepts")</f>
        <v>DevOps Concepts</v>
      </c>
      <c r="E237" s="46" t="str">
        <f>IFERROR(__xludf.DUMMYFUNCTION("if(or(QuotesCheckJudge="""",and(QuotesCheckJudge = ""primeiro"", QuotesCheckChallengeRecommendation1 &lt;&gt; """")), filter('Quotes-Check'!E237:F237, 'Quotes-Check'!E237:F237&lt;&gt;""glugluieie""),if(and(QuotesCheckJudge = ""segundo"", QuotesCheckChallengeRecommend"&amp;"ation2 &lt;&gt; """"), filter('Quotes-Check'!I237:J237, 'Quotes-Check'!I237:J237&lt;&gt;""glugluieie""),""""))"),"recommendation")</f>
        <v>recommendation</v>
      </c>
      <c r="F237" s="22" t="str">
        <f>IFERROR(__xludf.DUMMYFUNCTION("""COMPUTED_VALUE"""),"DevOps se aproxima muito nessas peculiaridades de cadeiras tipo arquitetura de software. Não dá pra você ficar só nos conceitos, na teoria, você tem que mostrar a concretização dessas coisas.")</f>
        <v>DevOps se aproxima muito nessas peculiaridades de cadeiras tipo arquitetura de software. Não dá pra você ficar só nos conceitos, na teoria, você tem que mostrar a concretização dessas coisas.</v>
      </c>
      <c r="G237" s="22" t="str">
        <f>if(QuotesCheckJudgeAbstract&lt;&gt;"",QuotesCheckJudgeAbstract,if(or(QuotesCheckJudge="",and(QuotesCheckJudge = "primeiro", QuotesCheckChallengeRecommendation1 &lt;&gt; "")), QuotesCheckAbstract1,if(and(QuotesCheckJudge = "segundo", QuotesCheckChallengeRecommendation2 &lt;&gt; ""), QuotesCheckAbstract2,"")))</f>
        <v>It takes practice to understand DevOps concepts.</v>
      </c>
    </row>
    <row r="238">
      <c r="A238" s="22">
        <f>IFERROR(__xludf.DUMMYFUNCTION("if(or(QuotesCheckJudge="""",and(QuotesCheckJudge = ""primeiro"", QuotesCheckChallengeRecommendation1 &lt;&gt; """"),and(QuotesCheckJudge = ""segundo"", QuotesCheckChallengeRecommendation2 &lt;&gt; """")), filter('Quotes-Check'!A238:D238, 'Quotes-Check'!A238:D238&lt;&gt;""g"&amp;"lugluieie""),"""")"),7.0)</f>
        <v>7</v>
      </c>
      <c r="B238" s="22">
        <f>IFERROR(__xludf.DUMMYFUNCTION("""COMPUTED_VALUE"""),4.0)</f>
        <v>4</v>
      </c>
      <c r="C238" s="2" t="str">
        <f>IFERROR(__xludf.DUMMYFUNCTION("""COMPUTED_VALUE"""),"R1 / R3")</f>
        <v>R1 / R3</v>
      </c>
      <c r="D238" s="22" t="str">
        <f>IFERROR(__xludf.DUMMYFUNCTION("""COMPUTED_VALUE"""),"Class Preparation")</f>
        <v>Class Preparation</v>
      </c>
      <c r="E238" s="46" t="str">
        <f>IFERROR(__xludf.DUMMYFUNCTION("if(or(QuotesCheckJudge="""",and(QuotesCheckJudge = ""primeiro"", QuotesCheckChallengeRecommendation1 &lt;&gt; """")), filter('Quotes-Check'!E238:F238, 'Quotes-Check'!E238:F238&lt;&gt;""glugluieie""),if(and(QuotesCheckJudge = ""segundo"", QuotesCheckChallengeRecommend"&amp;"ation2 &lt;&gt; """"), filter('Quotes-Check'!I238:J238, 'Quotes-Check'!I238:J238&lt;&gt;""glugluieie""),""""))"),"challenge")</f>
        <v>challenge</v>
      </c>
      <c r="F238" s="22" t="str">
        <f>IFERROR(__xludf.DUMMYFUNCTION("""COMPUTED_VALUE"""),"Na época que eu comecei a preparar, não existia um buy the book, um “kit”, uma sugestão de curso, aí pra você iniciar, tal, é um bom start, né? ")</f>
        <v>Na época que eu comecei a preparar, não existia um buy the book, um “kit”, uma sugestão de curso, aí pra você iniciar, tal, é um bom start, né? </v>
      </c>
      <c r="G238" s="22" t="str">
        <f>if(QuotesCheckJudgeAbstract&lt;&gt;"",QuotesCheckJudgeAbstract,if(or(QuotesCheckJudge="",and(QuotesCheckJudge = "primeiro", QuotesCheckChallengeRecommendation1 &lt;&gt; "")), QuotesCheckAbstract1,if(and(QuotesCheckJudge = "segundo", QuotesCheckChallengeRecommendation2 &lt;&gt; ""), QuotesCheckAbstract2,"")))</f>
        <v>There is no complete material to teach DevOps.</v>
      </c>
    </row>
    <row r="239">
      <c r="A239" s="22">
        <f>IFERROR(__xludf.DUMMYFUNCTION("if(or(QuotesCheckJudge="""",and(QuotesCheckJudge = ""primeiro"", QuotesCheckChallengeRecommendation1 &lt;&gt; """"),and(QuotesCheckJudge = ""segundo"", QuotesCheckChallengeRecommendation2 &lt;&gt; """")), filter('Quotes-Check'!A239:D239, 'Quotes-Check'!A239:D239&lt;&gt;""g"&amp;"lugluieie""),"""")"),7.0)</f>
        <v>7</v>
      </c>
      <c r="B239" s="22">
        <f>IFERROR(__xludf.DUMMYFUNCTION("""COMPUTED_VALUE"""),4.0)</f>
        <v>4</v>
      </c>
      <c r="C239" s="40" t="str">
        <f>IFERROR(__xludf.DUMMYFUNCTION("""COMPUTED_VALUE"""),"R1 / R3")</f>
        <v>R1 / R3</v>
      </c>
      <c r="D239" s="22" t="str">
        <f>IFERROR(__xludf.DUMMYFUNCTION("""COMPUTED_VALUE"""),"Class Preparation")</f>
        <v>Class Preparation</v>
      </c>
      <c r="E239" s="46" t="str">
        <f>IFERROR(__xludf.DUMMYFUNCTION("if(or(QuotesCheckJudge="""",and(QuotesCheckJudge = ""primeiro"", QuotesCheckChallengeRecommendation1 &lt;&gt; """")), filter('Quotes-Check'!E239:F239, 'Quotes-Check'!E239:F239&lt;&gt;""glugluieie""),if(and(QuotesCheckJudge = ""segundo"", QuotesCheckChallengeRecommend"&amp;"ation2 &lt;&gt; """"), filter('Quotes-Check'!I239:J239, 'Quotes-Check'!I239:J239&lt;&gt;""glugluieie""),""""))"),"challenge")</f>
        <v>challenge</v>
      </c>
      <c r="F239" s="22" t="str">
        <f>IFERROR(__xludf.DUMMYFUNCTION("""COMPUTED_VALUE"""),"O plano de ensino, onde eu vou começar, por onde eu vou passar, o que que vem. Então, estruturar essa sequência dos assuntos a serem abordados, de como é que você vai conectar os assuntos, qual é a parte mais difícil.")</f>
        <v>O plano de ensino, onde eu vou começar, por onde eu vou passar, o que que vem. Então, estruturar essa sequência dos assuntos a serem abordados, de como é que você vai conectar os assuntos, qual é a parte mais difícil.</v>
      </c>
      <c r="G239"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to create a teaching plan, especially connecting the covered subjects.</v>
      </c>
    </row>
    <row r="240">
      <c r="A240" s="22">
        <f>IFERROR(__xludf.DUMMYFUNCTION("if(or(QuotesCheckJudge="""",and(QuotesCheckJudge = ""primeiro"", QuotesCheckChallengeRecommendation1 &lt;&gt; """"),and(QuotesCheckJudge = ""segundo"", QuotesCheckChallengeRecommendation2 &lt;&gt; """")), filter('Quotes-Check'!A240:D240, 'Quotes-Check'!A240:D240&lt;&gt;""g"&amp;"lugluieie""),"""")"),7.0)</f>
        <v>7</v>
      </c>
      <c r="B240" s="22">
        <f>IFERROR(__xludf.DUMMYFUNCTION("""COMPUTED_VALUE"""),4.0)</f>
        <v>4</v>
      </c>
      <c r="C240" s="40" t="str">
        <f>IFERROR(__xludf.DUMMYFUNCTION("""COMPUTED_VALUE"""),"R1 / R3")</f>
        <v>R1 / R3</v>
      </c>
      <c r="D240" s="22" t="str">
        <f>IFERROR(__xludf.DUMMYFUNCTION("""COMPUTED_VALUE"""),"Class Preparation")</f>
        <v>Class Preparation</v>
      </c>
      <c r="E240" s="46" t="str">
        <f>IFERROR(__xludf.DUMMYFUNCTION("if(or(QuotesCheckJudge="""",and(QuotesCheckJudge = ""primeiro"", QuotesCheckChallengeRecommendation1 &lt;&gt; """")), filter('Quotes-Check'!E240:F240, 'Quotes-Check'!E240:F240&lt;&gt;""glugluieie""),if(and(QuotesCheckJudge = ""segundo"", QuotesCheckChallengeRecommend"&amp;"ation2 &lt;&gt; """"), filter('Quotes-Check'!I240:J240, 'Quotes-Check'!I240:J240&lt;&gt;""glugluieie""),""""))"),"recommendation")</f>
        <v>recommendation</v>
      </c>
      <c r="F240" s="22" t="str">
        <f>IFERROR(__xludf.DUMMYFUNCTION("""COMPUTED_VALUE"""),"Eu costumo estudar bastante o assunto em si, para entender e depois ver qual é a melhor forma de explicar aquele assunto. ")</f>
        <v>Eu costumo estudar bastante o assunto em si, para entender e depois ver qual é a melhor forma de explicar aquele assunto. </v>
      </c>
      <c r="G240" s="22" t="str">
        <f>if(QuotesCheckJudgeAbstract&lt;&gt;"",QuotesCheckJudgeAbstract,if(or(QuotesCheckJudge="",and(QuotesCheckJudge = "primeiro", QuotesCheckChallengeRecommendation1 &lt;&gt; "")), QuotesCheckAbstract1,if(and(QuotesCheckJudge = "segundo", QuotesCheckChallengeRecommendation2 &lt;&gt; ""), QuotesCheckAbstract2,"")))</f>
        <v>Study the subject thoroughly before preparing for classes.</v>
      </c>
    </row>
    <row r="241">
      <c r="A241" s="22">
        <f>IFERROR(__xludf.DUMMYFUNCTION("if(or(QuotesCheckJudge="""",and(QuotesCheckJudge = ""primeiro"", QuotesCheckChallengeRecommendation1 &lt;&gt; """"),and(QuotesCheckJudge = ""segundo"", QuotesCheckChallengeRecommendation2 &lt;&gt; """")), filter('Quotes-Check'!A241:D241, 'Quotes-Check'!A241:D241&lt;&gt;""g"&amp;"lugluieie""),"""")"),7.0)</f>
        <v>7</v>
      </c>
      <c r="B241" s="22">
        <f>IFERROR(__xludf.DUMMYFUNCTION("""COMPUTED_VALUE"""),4.0)</f>
        <v>4</v>
      </c>
      <c r="C241" s="40" t="str">
        <f>IFERROR(__xludf.DUMMYFUNCTION("""COMPUTED_VALUE"""),"R1 / R3")</f>
        <v>R1 / R3</v>
      </c>
      <c r="D241" s="22" t="str">
        <f>IFERROR(__xludf.DUMMYFUNCTION("""COMPUTED_VALUE"""),"Class Preparation")</f>
        <v>Class Preparation</v>
      </c>
      <c r="E241" s="46" t="str">
        <f>IFERROR(__xludf.DUMMYFUNCTION("if(or(QuotesCheckJudge="""",and(QuotesCheckJudge = ""primeiro"", QuotesCheckChallengeRecommendation1 &lt;&gt; """")), filter('Quotes-Check'!E241:F241, 'Quotes-Check'!E241:F241&lt;&gt;""glugluieie""),if(and(QuotesCheckJudge = ""segundo"", QuotesCheckChallengeRecommend"&amp;"ation2 &lt;&gt; """"), filter('Quotes-Check'!I241:J241, 'Quotes-Check'!I241:J241&lt;&gt;""glugluieie""),""""))"),"recommendation")</f>
        <v>recommendation</v>
      </c>
      <c r="F241" s="22" t="str">
        <f>IFERROR(__xludf.DUMMYFUNCTION("""COMPUTED_VALUE"""),"você propor as dinâmicas, ter essas coisas pra mexer com a turma, porque senão fica tão muito chato.")</f>
        <v>você propor as dinâmicas, ter essas coisas pra mexer com a turma, porque senão fica tão muito chato.</v>
      </c>
      <c r="G241" s="22" t="str">
        <f>if(QuotesCheckJudgeAbstract&lt;&gt;"",QuotesCheckJudgeAbstract,if(or(QuotesCheckJudge="",and(QuotesCheckJudge = "primeiro", QuotesCheckChallengeRecommendation1 &lt;&gt; "")), QuotesCheckAbstract1,if(and(QuotesCheckJudge = "segundo", QuotesCheckChallengeRecommendation2 &lt;&gt; ""), QuotesCheckAbstract2,"")))</f>
        <v>Use dynamics to inspire the class.</v>
      </c>
    </row>
    <row r="242">
      <c r="A242" s="22">
        <f>IFERROR(__xludf.DUMMYFUNCTION("if(or(QuotesCheckJudge="""",and(QuotesCheckJudge = ""primeiro"", QuotesCheckChallengeRecommendation1 &lt;&gt; """"),and(QuotesCheckJudge = ""segundo"", QuotesCheckChallengeRecommendation2 &lt;&gt; """")), filter('Quotes-Check'!A242:D242, 'Quotes-Check'!A242:D242&lt;&gt;""g"&amp;"lugluieie""),"""")"),7.0)</f>
        <v>7</v>
      </c>
      <c r="B242" s="22">
        <f>IFERROR(__xludf.DUMMYFUNCTION("""COMPUTED_VALUE"""),5.0)</f>
        <v>5</v>
      </c>
      <c r="C242" s="40" t="str">
        <f>IFERROR(__xludf.DUMMYFUNCTION("""COMPUTED_VALUE"""),"R1 / R3")</f>
        <v>R1 / R3</v>
      </c>
      <c r="D242" s="22" t="str">
        <f>IFERROR(__xludf.DUMMYFUNCTION("""COMPUTED_VALUE"""),"Tool / Technology")</f>
        <v>Tool / Technology</v>
      </c>
      <c r="E242" s="46" t="str">
        <f>IFERROR(__xludf.DUMMYFUNCTION("if(or(QuotesCheckJudge="""",and(QuotesCheckJudge = ""primeiro"", QuotesCheckChallengeRecommendation1 &lt;&gt; """")), filter('Quotes-Check'!E242:F242, 'Quotes-Check'!E242:F242&lt;&gt;""glugluieie""),if(and(QuotesCheckJudge = ""segundo"", QuotesCheckChallengeRecommend"&amp;"ation2 &lt;&gt; """"), filter('Quotes-Check'!I242:J242, 'Quotes-Check'!I242:J242&lt;&gt;""glugluieie""),""""))"),"recommendation")</f>
        <v>recommendation</v>
      </c>
      <c r="F242" s="22" t="str">
        <f>IFERROR(__xludf.DUMMYFUNCTION("""COMPUTED_VALUE"""),"A recomendação é ver o que o mercado tá utilizando, né? E tentar ir pelo que é mais utilizado, tipo, não adiantava eu mexer com CRIO se todo mundo usa Docker. ")</f>
        <v>A recomendação é ver o que o mercado tá utilizando, né? E tentar ir pelo que é mais utilizado, tipo, não adiantava eu mexer com CRIO se todo mundo usa Docker. </v>
      </c>
      <c r="G242" s="22" t="str">
        <f>if(QuotesCheckJudgeAbstract&lt;&gt;"",QuotesCheckJudgeAbstract,if(or(QuotesCheckJudge="",and(QuotesCheckJudge = "primeiro", QuotesCheckChallengeRecommendation1 &lt;&gt; "")), QuotesCheckAbstract1,if(and(QuotesCheckJudge = "segundo", QuotesCheckChallengeRecommendation2 &lt;&gt; ""), QuotesCheckAbstract2,"")))</f>
        <v>Use the most relevant tools on the market like Docker.</v>
      </c>
    </row>
    <row r="243">
      <c r="A243" s="22">
        <f>IFERROR(__xludf.DUMMYFUNCTION("if(or(QuotesCheckJudge="""",and(QuotesCheckJudge = ""primeiro"", QuotesCheckChallengeRecommendation1 &lt;&gt; """"),and(QuotesCheckJudge = ""segundo"", QuotesCheckChallengeRecommendation2 &lt;&gt; """")), filter('Quotes-Check'!A243:D243, 'Quotes-Check'!A243:D243&lt;&gt;""g"&amp;"lugluieie""),"""")"),7.0)</f>
        <v>7</v>
      </c>
      <c r="B243" s="22">
        <f>IFERROR(__xludf.DUMMYFUNCTION("""COMPUTED_VALUE"""),5.0)</f>
        <v>5</v>
      </c>
      <c r="C243" s="2" t="str">
        <f>IFERROR(__xludf.DUMMYFUNCTION("""COMPUTED_VALUE"""),"R1 / R3")</f>
        <v>R1 / R3</v>
      </c>
      <c r="D243" s="22" t="str">
        <f>IFERROR(__xludf.DUMMYFUNCTION("""COMPUTED_VALUE"""),"Tool / Technology")</f>
        <v>Tool / Technology</v>
      </c>
      <c r="E243" s="46" t="str">
        <f>IFERROR(__xludf.DUMMYFUNCTION("if(or(QuotesCheckJudge="""",and(QuotesCheckJudge = ""primeiro"", QuotesCheckChallengeRecommendation1 &lt;&gt; """")), filter('Quotes-Check'!E243:F243, 'Quotes-Check'!E243:F243&lt;&gt;""glugluieie""),if(and(QuotesCheckJudge = ""segundo"", QuotesCheckChallengeRecommend"&amp;"ation2 &lt;&gt; """"), filter('Quotes-Check'!I243:J243, 'Quotes-Check'!I243:J243&lt;&gt;""glugluieie""),""""))"),"recommendation")</f>
        <v>recommendation</v>
      </c>
      <c r="F243" s="22" t="str">
        <f>IFERROR(__xludf.DUMMYFUNCTION("""COMPUTED_VALUE"""),"eu procuro trazer isso: Mesos, Marathon, depois o Swarm, até para exercitar os conceitos é mais fácil, mais leve do que o Kubernetes, e aí depois de Kubernetes, Rancher, por exemplo")</f>
        <v>eu procuro trazer isso: Mesos, Marathon, depois o Swarm, até para exercitar os conceitos é mais fácil, mais leve do que o Kubernetes, e aí depois de Kubernetes, Rancher, por exemplo</v>
      </c>
      <c r="G243" s="22" t="str">
        <f>if(QuotesCheckJudgeAbstract&lt;&gt;"",QuotesCheckJudgeAbstract,if(or(QuotesCheckJudge="",and(QuotesCheckJudge = "primeiro", QuotesCheckChallengeRecommendation1 &lt;&gt; "")), QuotesCheckAbstract1,if(and(QuotesCheckJudge = "segundo", QuotesCheckChallengeRecommendation2 &lt;&gt; ""), QuotesCheckAbstract2,"")))</f>
        <v>Initially, adopt more straightforward tools such as Mesos, Marathon, and Docker Swarm before using the Kubernetes tool.</v>
      </c>
    </row>
    <row r="244">
      <c r="A244" s="22">
        <f>IFERROR(__xludf.DUMMYFUNCTION("if(or(QuotesCheckJudge="""",and(QuotesCheckJudge = ""primeiro"", QuotesCheckChallengeRecommendation1 &lt;&gt; """"),and(QuotesCheckJudge = ""segundo"", QuotesCheckChallengeRecommendation2 &lt;&gt; """")), filter('Quotes-Check'!A244:D244, 'Quotes-Check'!A244:D244&lt;&gt;""g"&amp;"lugluieie""),"""")"),7.0)</f>
        <v>7</v>
      </c>
      <c r="B244" s="22">
        <f>IFERROR(__xludf.DUMMYFUNCTION("""COMPUTED_VALUE"""),5.0)</f>
        <v>5</v>
      </c>
      <c r="C244" s="40" t="str">
        <f>IFERROR(__xludf.DUMMYFUNCTION("""COMPUTED_VALUE"""),"R1 / R3")</f>
        <v>R1 / R3</v>
      </c>
      <c r="D244" s="22" t="str">
        <f>IFERROR(__xludf.DUMMYFUNCTION("""COMPUTED_VALUE"""),"Tool / Technology")</f>
        <v>Tool / Technology</v>
      </c>
      <c r="E244" s="46" t="str">
        <f>IFERROR(__xludf.DUMMYFUNCTION("if(or(QuotesCheckJudge="""",and(QuotesCheckJudge = ""primeiro"", QuotesCheckChallengeRecommendation1 &lt;&gt; """")), filter('Quotes-Check'!E244:F244, 'Quotes-Check'!E244:F244&lt;&gt;""glugluieie""),if(and(QuotesCheckJudge = ""segundo"", QuotesCheckChallengeRecommend"&amp;"ation2 &lt;&gt; """"), filter('Quotes-Check'!I244:J244, 'Quotes-Check'!I244:J244&lt;&gt;""glugluieie""),""""))"),"challenge")</f>
        <v>challenge</v>
      </c>
      <c r="F244" s="22" t="str">
        <f>IFERROR(__xludf.DUMMYFUNCTION("""COMPUTED_VALUE"""),"Então é tá alinhado ao que tá acontecendo na comunidade como um todo, né? Estar buscando sempre trazer, porque essa área, especificamente, ela corre muito rápido. Então, todo semestre que eu rodo, rodo essa disciplina uma vez por ano, tem atualizações mui"&amp;"to fortes do que tá acontecendo.
")</f>
        <v>Então é tá alinhado ao que tá acontecendo na comunidade como um todo, né? Estar buscando sempre trazer, porque essa área, especificamente, ela corre muito rápido. Então, todo semestre que eu rodo, rodo essa disciplina uma vez por ano, tem atualizações muito fortes do que tá acontecendo.
</v>
      </c>
      <c r="G244" s="22" t="str">
        <f>if(QuotesCheckJudgeAbstract&lt;&gt;"",QuotesCheckJudgeAbstract,if(or(QuotesCheckJudge="",and(QuotesCheckJudge = "primeiro", QuotesCheckChallengeRecommendation1 &lt;&gt; "")), QuotesCheckAbstract1,if(and(QuotesCheckJudge = "segundo", QuotesCheckChallengeRecommendation2 &lt;&gt; ""), QuotesCheckAbstract2,"")))</f>
        <v>It is important to be up-to-date on industry tools every six months.</v>
      </c>
    </row>
    <row r="245">
      <c r="A245" s="22">
        <f>IFERROR(__xludf.DUMMYFUNCTION("if(or(QuotesCheckJudge="""",and(QuotesCheckJudge = ""primeiro"", QuotesCheckChallengeRecommendation1 &lt;&gt; """"),and(QuotesCheckJudge = ""segundo"", QuotesCheckChallengeRecommendation2 &lt;&gt; """")), filter('Quotes-Check'!A245:D245, 'Quotes-Check'!A245:D245&lt;&gt;""g"&amp;"lugluieie""),"""")"),7.0)</f>
        <v>7</v>
      </c>
      <c r="B245" s="22">
        <f>IFERROR(__xludf.DUMMYFUNCTION("""COMPUTED_VALUE"""),6.0)</f>
        <v>6</v>
      </c>
      <c r="C245" s="2" t="str">
        <f>IFERROR(__xludf.DUMMYFUNCTION("""COMPUTED_VALUE"""),"R1 / R2")</f>
        <v>R1 / R2</v>
      </c>
      <c r="D245" s="22" t="str">
        <f>IFERROR(__xludf.DUMMYFUNCTION("""COMPUTED_VALUE"""),"Assessment")</f>
        <v>Assessment</v>
      </c>
      <c r="E245" s="46" t="str">
        <f>IFERROR(__xludf.DUMMYFUNCTION("if(or(QuotesCheckJudge="""",and(QuotesCheckJudge = ""primeiro"", QuotesCheckChallengeRecommendation1 &lt;&gt; """")), filter('Quotes-Check'!E245:F245, 'Quotes-Check'!E245:F245&lt;&gt;""glugluieie""),if(and(QuotesCheckJudge = ""segundo"", QuotesCheckChallengeRecommend"&amp;"ation2 &lt;&gt; """"), filter('Quotes-Check'!I245:J245, 'Quotes-Check'!I245:J245&lt;&gt;""glugluieie""),""""))"),"recommendation")</f>
        <v>recommendation</v>
      </c>
      <c r="F245" s="22" t="str">
        <f>IFERROR(__xludf.DUMMYFUNCTION("""COMPUTED_VALUE"""),"Algumas configurações que você pode ter pra gente ajudar, tipo, ah, você tem a equipe de monitores, por exemplo, isso te permite seguir para uma linha prática mais legal, porque tu vai ter mais braço pra te ajudar, avaliar e tudo mais.")</f>
        <v>Algumas configurações que você pode ter pra gente ajudar, tipo, ah, você tem a equipe de monitores, por exemplo, isso te permite seguir para uma linha prática mais legal, porque tu vai ter mais braço pra te ajudar, avaliar e tudo mais.</v>
      </c>
      <c r="G245" s="22" t="str">
        <f>if(QuotesCheckJudgeAbstract&lt;&gt;"",QuotesCheckJudgeAbstract,if(or(QuotesCheckJudge="",and(QuotesCheckJudge = "primeiro", QuotesCheckChallengeRecommendation1 &lt;&gt; "")), QuotesCheckAbstract1,if(and(QuotesCheckJudge = "segundo", QuotesCheckChallengeRecommendation2 &lt;&gt; ""), QuotesCheckAbstract2,"")))</f>
        <v>If possible, have a team of monitors to assist in the assessment process.</v>
      </c>
    </row>
    <row r="246">
      <c r="A246" s="22">
        <f>IFERROR(__xludf.DUMMYFUNCTION("if(or(QuotesCheckJudge="""",and(QuotesCheckJudge = ""primeiro"", QuotesCheckChallengeRecommendation1 &lt;&gt; """"),and(QuotesCheckJudge = ""segundo"", QuotesCheckChallengeRecommendation2 &lt;&gt; """")), filter('Quotes-Check'!A246:D246, 'Quotes-Check'!A246:D246&lt;&gt;""g"&amp;"lugluieie""),"""")"),7.0)</f>
        <v>7</v>
      </c>
      <c r="B246" s="22">
        <f>IFERROR(__xludf.DUMMYFUNCTION("""COMPUTED_VALUE"""),6.0)</f>
        <v>6</v>
      </c>
      <c r="C246" s="40" t="str">
        <f>IFERROR(__xludf.DUMMYFUNCTION("""COMPUTED_VALUE"""),"R1 / R2")</f>
        <v>R1 / R2</v>
      </c>
      <c r="D246" s="22" t="str">
        <f>IFERROR(__xludf.DUMMYFUNCTION("""COMPUTED_VALUE"""),"Assessment")</f>
        <v>Assessment</v>
      </c>
      <c r="E246" s="46" t="str">
        <f>IFERROR(__xludf.DUMMYFUNCTION("if(or(QuotesCheckJudge="""",and(QuotesCheckJudge = ""primeiro"", QuotesCheckChallengeRecommendation1 &lt;&gt; """")), filter('Quotes-Check'!E246:F246, 'Quotes-Check'!E246:F246&lt;&gt;""glugluieie""),if(and(QuotesCheckJudge = ""segundo"", QuotesCheckChallengeRecommend"&amp;"ation2 &lt;&gt; """"), filter('Quotes-Check'!I246:J246, 'Quotes-Check'!I246:J246&lt;&gt;""glugluieie""),""""))"),"challenge")</f>
        <v>challenge</v>
      </c>
      <c r="F246" s="22" t="str">
        <f>IFERROR(__xludf.DUMMYFUNCTION("""COMPUTED_VALUE"""),"equipe de monitores [...] Se você não tem, ele fica mais pesado, fica mais difícil, você sozinho avaliar. Pega uma turma com quarenta alunos, mesmo que você divida em times, é muita coisa pra você avaliar.")</f>
        <v>equipe de monitores [...] Se você não tem, ele fica mais pesado, fica mais difícil, você sozinho avaliar. Pega uma turma com quarenta alunos, mesmo que você divida em times, é muita coisa pra você avaliar.</v>
      </c>
      <c r="G246" s="22" t="str">
        <f>if(QuotesCheckJudgeAbstract&lt;&gt;"",QuotesCheckJudgeAbstract,if(or(QuotesCheckJudge="",and(QuotesCheckJudge = "primeiro", QuotesCheckChallengeRecommendation1 &lt;&gt; "")), QuotesCheckAbstract1,if(and(QuotesCheckJudge = "segundo", QuotesCheckChallengeRecommendation2 &lt;&gt; ""), QuotesCheckAbstract2,"")))</f>
        <v>Large class assessment requires great effort.</v>
      </c>
    </row>
    <row r="247">
      <c r="A247" s="22">
        <f>IFERROR(__xludf.DUMMYFUNCTION("if(or(QuotesCheckJudge="""",and(QuotesCheckJudge = ""primeiro"", QuotesCheckChallengeRecommendation1 &lt;&gt; """"),and(QuotesCheckJudge = ""segundo"", QuotesCheckChallengeRecommendation2 &lt;&gt; """")), filter('Quotes-Check'!A247:D247, 'Quotes-Check'!A247:D247&lt;&gt;""g"&amp;"lugluieie""),"""")"),7.0)</f>
        <v>7</v>
      </c>
      <c r="B247" s="22">
        <f>IFERROR(__xludf.DUMMYFUNCTION("""COMPUTED_VALUE"""),6.0)</f>
        <v>6</v>
      </c>
      <c r="C247" s="40" t="str">
        <f>IFERROR(__xludf.DUMMYFUNCTION("""COMPUTED_VALUE"""),"R1 / R2")</f>
        <v>R1 / R2</v>
      </c>
      <c r="D247" s="22" t="str">
        <f>IFERROR(__xludf.DUMMYFUNCTION("""COMPUTED_VALUE"""),"Assessment")</f>
        <v>Assessment</v>
      </c>
      <c r="E247" s="46" t="str">
        <f>IFERROR(__xludf.DUMMYFUNCTION("if(or(QuotesCheckJudge="""",and(QuotesCheckJudge = ""primeiro"", QuotesCheckChallengeRecommendation1 &lt;&gt; """")), filter('Quotes-Check'!E247:F247, 'Quotes-Check'!E247:F247&lt;&gt;""glugluieie""),if(and(QuotesCheckJudge = ""segundo"", QuotesCheckChallengeRecommend"&amp;"ation2 &lt;&gt; """"), filter('Quotes-Check'!I247:J247, 'Quotes-Check'!I247:J247&lt;&gt;""glugluieie""),""""))"),"recommendation")</f>
        <v>recommendation</v>
      </c>
      <c r="F247" s="22" t="str">
        <f>IFERROR(__xludf.DUMMYFUNCTION("""COMPUTED_VALUE"""),"você propõe um desafio prático para resolução de um problema, eu acho que os alunos acabam aprendendo mais.")</f>
        <v>você propõe um desafio prático para resolução de um problema, eu acho que os alunos acabam aprendendo mais.</v>
      </c>
      <c r="G247" s="22" t="str">
        <f>if(QuotesCheckJudgeAbstract&lt;&gt;"",QuotesCheckJudgeAbstract,if(or(QuotesCheckJudge="",and(QuotesCheckJudge = "primeiro", QuotesCheckChallengeRecommendation1 &lt;&gt; "")), QuotesCheckAbstract1,if(and(QuotesCheckJudge = "segundo", QuotesCheckChallengeRecommendation2 &lt;&gt; ""), QuotesCheckAbstract2,"")))</f>
        <v>Evaluate through practical challenges.</v>
      </c>
    </row>
    <row r="248">
      <c r="A248" s="22">
        <f>IFERROR(__xludf.DUMMYFUNCTION("if(or(QuotesCheckJudge="""",and(QuotesCheckJudge = ""primeiro"", QuotesCheckChallengeRecommendation1 &lt;&gt; """"),and(QuotesCheckJudge = ""segundo"", QuotesCheckChallengeRecommendation2 &lt;&gt; """")), filter('Quotes-Check'!A248:D248, 'Quotes-Check'!A248:D248&lt;&gt;""g"&amp;"lugluieie""),"""")"),7.0)</f>
        <v>7</v>
      </c>
      <c r="B248" s="22">
        <f>IFERROR(__xludf.DUMMYFUNCTION("""COMPUTED_VALUE"""),6.0)</f>
        <v>6</v>
      </c>
      <c r="C248" s="2" t="str">
        <f>IFERROR(__xludf.DUMMYFUNCTION("""COMPUTED_VALUE"""),"R1 / R2")</f>
        <v>R1 / R2</v>
      </c>
      <c r="D248" s="22" t="str">
        <f>IFERROR(__xludf.DUMMYFUNCTION("""COMPUTED_VALUE"""),"Assessment")</f>
        <v>Assessment</v>
      </c>
      <c r="E248" s="46" t="str">
        <f>IFERROR(__xludf.DUMMYFUNCTION("if(or(QuotesCheckJudge="""",and(QuotesCheckJudge = ""primeiro"", QuotesCheckChallengeRecommendation1 &lt;&gt; """")), filter('Quotes-Check'!E248:F248, 'Quotes-Check'!E248:F248&lt;&gt;""glugluieie""),if(and(QuotesCheckJudge = ""segundo"", QuotesCheckChallengeRecommend"&amp;"ation2 &lt;&gt; """"), filter('Quotes-Check'!I248:J248, 'Quotes-Check'!I248:J248&lt;&gt;""glugluieie""),""""))"),"recommendation")</f>
        <v>recommendation</v>
      </c>
      <c r="F248" s="22" t="str">
        <f>IFERROR(__xludf.DUMMYFUNCTION("""COMPUTED_VALUE"""),"Porque parte do pressuposto em todas as minhas disciplinas isso, né, que é o conhecimento é uma obra aberta, né? Eu não sou o detentor de todo conhecimento [...] Então eles aprenderem a fazer essa curadoria do que que é relevante, importante ou não, faz p"&amp;"arte dos meus processos de ensino e aprendizado.")</f>
        <v>Porque parte do pressuposto em todas as minhas disciplinas isso, né, que é o conhecimento é uma obra aberta, né? Eu não sou o detentor de todo conhecimento [...] Então eles aprenderem a fazer essa curadoria do que que é relevante, importante ou não, faz parte dos meus processos de ensino e aprendizado.</v>
      </c>
      <c r="G248" s="22" t="str">
        <f>if(QuotesCheckJudgeAbstract&lt;&gt;"",QuotesCheckJudgeAbstract,if(or(QuotesCheckJudge="",and(QuotesCheckJudge = "primeiro", QuotesCheckChallengeRecommendation1 &lt;&gt; "")), QuotesCheckAbstract1,if(and(QuotesCheckJudge = "segundo", QuotesCheckChallengeRecommendation2 &lt;&gt; ""), QuotesCheckAbstract2,"")))</f>
        <v>Instigate students' critical thinking and encourage the self-taught search for extra-class information.</v>
      </c>
    </row>
    <row r="249">
      <c r="A249" s="22">
        <f>IFERROR(__xludf.DUMMYFUNCTION("if(or(QuotesCheckJudge="""",and(QuotesCheckJudge = ""primeiro"", QuotesCheckChallengeRecommendation1 &lt;&gt; """"),and(QuotesCheckJudge = ""segundo"", QuotesCheckChallengeRecommendation2 &lt;&gt; """")), filter('Quotes-Check'!A249:D249, 'Quotes-Check'!A249:D249&lt;&gt;""g"&amp;"lugluieie""),"""")"),7.0)</f>
        <v>7</v>
      </c>
      <c r="B249" s="22">
        <f>IFERROR(__xludf.DUMMYFUNCTION("""COMPUTED_VALUE"""),7.0)</f>
        <v>7</v>
      </c>
      <c r="C249" s="40" t="str">
        <f>IFERROR(__xludf.DUMMYFUNCTION("""COMPUTED_VALUE"""),"R2 / R3")</f>
        <v>R2 / R3</v>
      </c>
      <c r="D249" s="22" t="str">
        <f>IFERROR(__xludf.DUMMYFUNCTION("""COMPUTED_VALUE"""),"Curriculum")</f>
        <v>Curriculum</v>
      </c>
      <c r="E249" s="46" t="str">
        <f>IFERROR(__xludf.DUMMYFUNCTION("if(or(QuotesCheckJudge="""",and(QuotesCheckJudge = ""primeiro"", QuotesCheckChallengeRecommendation1 &lt;&gt; """")), filter('Quotes-Check'!E249:F249, 'Quotes-Check'!E249:F249&lt;&gt;""glugluieie""),if(and(QuotesCheckJudge = ""segundo"", QuotesCheckChallengeRecommend"&amp;"ation2 &lt;&gt; """"), filter('Quotes-Check'!I249:J249, 'Quotes-Check'!I249:J249&lt;&gt;""glugluieie""),""""))"),"challenge")</f>
        <v>challenge</v>
      </c>
      <c r="F249" s="22" t="str">
        <f>IFERROR(__xludf.DUMMYFUNCTION("""COMPUTED_VALUE"""),"o desafio mesmo foi quando eu comecei a fazer, que não tinha nenhuma. Aí, você construir do zero é mais difícil, não tem o baseline. [...] [...] esses tipos de desafios, eles são mais relacionados à natureza do assunto, não ao objeto, ou seja: qual tipo d"&amp;"e conteúdo, como você vai conduzir esse curso, como você vai querer conduzir a disciplina.")</f>
        <v>o desafio mesmo foi quando eu comecei a fazer, que não tinha nenhuma. Aí, você construir do zero é mais difícil, não tem o baseline. [...] [...] esses tipos de desafios, eles são mais relacionados à natureza do assunto, não ao objeto, ou seja: qual tipo de conteúdo, como você vai conduzir esse curso, como você vai querer conduzir a disciplina.</v>
      </c>
      <c r="G249"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in setting up classes without a prior reference ones.</v>
      </c>
    </row>
    <row r="250">
      <c r="A250" s="22">
        <f>IFERROR(__xludf.DUMMYFUNCTION("if(or(QuotesCheckJudge="""",and(QuotesCheckJudge = ""primeiro"", QuotesCheckChallengeRecommendation1 &lt;&gt; """"),and(QuotesCheckJudge = ""segundo"", QuotesCheckChallengeRecommendation2 &lt;&gt; """")), filter('Quotes-Check'!A250:D250, 'Quotes-Check'!A250:D250&lt;&gt;""g"&amp;"lugluieie""),"""")"),7.0)</f>
        <v>7</v>
      </c>
      <c r="B250" s="22">
        <f>IFERROR(__xludf.DUMMYFUNCTION("""COMPUTED_VALUE"""),7.0)</f>
        <v>7</v>
      </c>
      <c r="C250" s="40" t="str">
        <f>IFERROR(__xludf.DUMMYFUNCTION("""COMPUTED_VALUE"""),"R2 / R3")</f>
        <v>R2 / R3</v>
      </c>
      <c r="D250" s="22" t="str">
        <f>IFERROR(__xludf.DUMMYFUNCTION("""COMPUTED_VALUE"""),"Curriculum")</f>
        <v>Curriculum</v>
      </c>
      <c r="E250" s="46" t="str">
        <f>IFERROR(__xludf.DUMMYFUNCTION("if(or(QuotesCheckJudge="""",and(QuotesCheckJudge = ""primeiro"", QuotesCheckChallengeRecommendation1 &lt;&gt; """")), filter('Quotes-Check'!E250:F250, 'Quotes-Check'!E250:F250&lt;&gt;""glugluieie""),if(and(QuotesCheckJudge = ""segundo"", QuotesCheckChallengeRecommend"&amp;"ation2 &lt;&gt; """"), filter('Quotes-Check'!I250:J250, 'Quotes-Check'!I250:J250&lt;&gt;""glugluieie""),""""))"),"recommendation")</f>
        <v>recommendation</v>
      </c>
      <c r="F250" s="22" t="str">
        <f>IFERROR(__xludf.DUMMYFUNCTION("""COMPUTED_VALUE"""),"Porque, por exemplo, já tem a minha que tem a minha disciplina aí pronta, né? Então o desafio, pra quem vai começar alguma, é menor. Já tem o que comparar e o que analisar, né? ")</f>
        <v>Porque, por exemplo, já tem a minha que tem a minha disciplina aí pronta, né? Então o desafio, pra quem vai começar alguma, é menor. Já tem o que comparar e o que analisar, né? </v>
      </c>
      <c r="G250" s="22" t="str">
        <f>if(QuotesCheckJudgeAbstract&lt;&gt;"",QuotesCheckJudgeAbstract,if(or(QuotesCheckJudge="",and(QuotesCheckJudge = "primeiro", QuotesCheckChallengeRecommendation1 &lt;&gt; "")), QuotesCheckAbstract1,if(and(QuotesCheckJudge = "segundo", QuotesCheckChallengeRecommendation2 &lt;&gt; ""), QuotesCheckAbstract2,"")))</f>
        <v>Use other DevOps courses as a reference.</v>
      </c>
    </row>
    <row r="251">
      <c r="A251" s="22">
        <f>IFERROR(__xludf.DUMMYFUNCTION("if(or(QuotesCheckJudge="""",and(QuotesCheckJudge = ""primeiro"", QuotesCheckChallengeRecommendation1 &lt;&gt; """"),and(QuotesCheckJudge = ""segundo"", QuotesCheckChallengeRecommendation2 &lt;&gt; """")), filter('Quotes-Check'!A251:D251, 'Quotes-Check'!A251:D251&lt;&gt;""g"&amp;"lugluieie""),"""")"),7.0)</f>
        <v>7</v>
      </c>
      <c r="B251" s="22">
        <f>IFERROR(__xludf.DUMMYFUNCTION("""COMPUTED_VALUE"""),8.0)</f>
        <v>8</v>
      </c>
      <c r="C251" s="2" t="str">
        <f>IFERROR(__xludf.DUMMYFUNCTION("""COMPUTED_VALUE"""),"R1 / R3")</f>
        <v>R1 / R3</v>
      </c>
      <c r="D251" s="22" t="str">
        <f>IFERROR(__xludf.DUMMYFUNCTION("""COMPUTED_VALUE"""),"Pedagogy")</f>
        <v>Pedagogy</v>
      </c>
      <c r="E251" s="46" t="str">
        <f>IFERROR(__xludf.DUMMYFUNCTION("if(or(QuotesCheckJudge="""",and(QuotesCheckJudge = ""primeiro"", QuotesCheckChallengeRecommendation1 &lt;&gt; """")), filter('Quotes-Check'!E251:F251, 'Quotes-Check'!E251:F251&lt;&gt;""glugluieie""),if(and(QuotesCheckJudge = ""segundo"", QuotesCheckChallengeRecommend"&amp;"ation2 &lt;&gt; """"), filter('Quotes-Check'!I251:J251, 'Quotes-Check'!I251:J251&lt;&gt;""glugluieie""),""""))"),"recommendation")</f>
        <v>recommendation</v>
      </c>
      <c r="F251" s="22" t="str">
        <f>IFERROR(__xludf.DUMMYFUNCTION("""COMPUTED_VALUE"""),"já tem a minha que tem a minha disciplina aí pronta, né? Então o desafio, pra quem vai começar alguma, é menor. ")</f>
        <v>já tem a minha que tem a minha disciplina aí pronta, né? Então o desafio, pra quem vai começar alguma, é menor. </v>
      </c>
      <c r="G251" s="22" t="str">
        <f>if(QuotesCheckJudgeAbstract&lt;&gt;"",QuotesCheckJudgeAbstract,if(or(QuotesCheckJudge="",and(QuotesCheckJudge = "primeiro", QuotesCheckChallengeRecommendation1 &lt;&gt; "")), QuotesCheckAbstract1,if(and(QuotesCheckJudge = "segundo", QuotesCheckChallengeRecommendation2 &lt;&gt; ""), QuotesCheckAbstract2,"")))</f>
        <v>You can use the discipline that the interviewee professor Vinicius elaborated as a reference for the elaboration of other DevOps disciplines.</v>
      </c>
    </row>
    <row r="252">
      <c r="A252" s="22">
        <f>IFERROR(__xludf.DUMMYFUNCTION("if(or(QuotesCheckJudge="""",and(QuotesCheckJudge = ""primeiro"", QuotesCheckChallengeRecommendation1 &lt;&gt; """"),and(QuotesCheckJudge = ""segundo"", QuotesCheckChallengeRecommendation2 &lt;&gt; """")), filter('Quotes-Check'!A252:D252, 'Quotes-Check'!A252:D252&lt;&gt;""g"&amp;"lugluieie""),"""")"),7.0)</f>
        <v>7</v>
      </c>
      <c r="B252" s="22">
        <f>IFERROR(__xludf.DUMMYFUNCTION("""COMPUTED_VALUE"""),8.0)</f>
        <v>8</v>
      </c>
      <c r="C252" s="40" t="str">
        <f>IFERROR(__xludf.DUMMYFUNCTION("""COMPUTED_VALUE"""),"R1 / R3")</f>
        <v>R1 / R3</v>
      </c>
      <c r="D252" s="22" t="str">
        <f>IFERROR(__xludf.DUMMYFUNCTION("""COMPUTED_VALUE"""),"Pedagogy")</f>
        <v>Pedagogy</v>
      </c>
      <c r="E252" s="46" t="str">
        <f>IFERROR(__xludf.DUMMYFUNCTION("if(or(QuotesCheckJudge="""",and(QuotesCheckJudge = ""primeiro"", QuotesCheckChallengeRecommendation1 &lt;&gt; """")), filter('Quotes-Check'!E252:F252, 'Quotes-Check'!E252:F252&lt;&gt;""glugluieie""),if(and(QuotesCheckJudge = ""segundo"", QuotesCheckChallengeRecommend"&amp;"ation2 &lt;&gt; """"), filter('Quotes-Check'!I252:J252, 'Quotes-Check'!I252:J252&lt;&gt;""glugluieie""),""""))"),"challenge")</f>
        <v>challenge</v>
      </c>
      <c r="F252" s="22" t="str">
        <f>IFERROR(__xludf.DUMMYFUNCTION("""COMPUTED_VALUE""")," se você quiser uma disciplina meio híbrida, que você tem a teoria e prática aplicada, aí o desafio vai ser outro, aí cobre desde você ter ambiente para isso, você estruturar o ambiente, ou pensar em alguma coisa assim, até disponibilizar máquina virtual,"&amp;" ")</f>
        <v> se você quiser uma disciplina meio híbrida, que você tem a teoria e prática aplicada, aí o desafio vai ser outro, aí cobre desde você ter ambiente para isso, você estruturar o ambiente, ou pensar em alguma coisa assim, até disponibilizar máquina virtual, </v>
      </c>
      <c r="G252" s="22" t="str">
        <f>if(QuotesCheckJudgeAbstract&lt;&gt;"",QuotesCheckJudgeAbstract,if(or(QuotesCheckJudge="",and(QuotesCheckJudge = "primeiro", QuotesCheckChallengeRecommendation1 &lt;&gt; "")), QuotesCheckAbstract1,if(and(QuotesCheckJudge = "segundo", QuotesCheckChallengeRecommendation2 &lt;&gt; ""), QuotesCheckAbstract2,"")))</f>
        <v>Be concerned about the infrastructure used in the student's environment.</v>
      </c>
    </row>
    <row r="253">
      <c r="A253" s="22">
        <f>IFERROR(__xludf.DUMMYFUNCTION("if(or(QuotesCheckJudge="""",and(QuotesCheckJudge = ""primeiro"", QuotesCheckChallengeRecommendation1 &lt;&gt; """"),and(QuotesCheckJudge = ""segundo"", QuotesCheckChallengeRecommendation2 &lt;&gt; """")), filter('Quotes-Check'!A253:D253, 'Quotes-Check'!A253:D253&lt;&gt;""g"&amp;"lugluieie""),"""")"),7.0)</f>
        <v>7</v>
      </c>
      <c r="B253" s="22">
        <f>IFERROR(__xludf.DUMMYFUNCTION("""COMPUTED_VALUE"""),8.0)</f>
        <v>8</v>
      </c>
      <c r="C253" s="40" t="str">
        <f>IFERROR(__xludf.DUMMYFUNCTION("""COMPUTED_VALUE"""),"R1 / R3")</f>
        <v>R1 / R3</v>
      </c>
      <c r="D253" s="22" t="str">
        <f>IFERROR(__xludf.DUMMYFUNCTION("""COMPUTED_VALUE"""),"Pedagogy")</f>
        <v>Pedagogy</v>
      </c>
      <c r="E253" s="46" t="str">
        <f>IFERROR(__xludf.DUMMYFUNCTION("if(or(QuotesCheckJudge="""",and(QuotesCheckJudge = ""primeiro"", QuotesCheckChallengeRecommendation1 &lt;&gt; """")), filter('Quotes-Check'!E253:F253, 'Quotes-Check'!E253:F253&lt;&gt;""glugluieie""),if(and(QuotesCheckJudge = ""segundo"", QuotesCheckChallengeRecommend"&amp;"ation2 &lt;&gt; """"), filter('Quotes-Check'!I253:J253, 'Quotes-Check'!I253:J253&lt;&gt;""glugluieie""),""""))"),"recommendation")</f>
        <v>recommendation</v>
      </c>
      <c r="F253" s="22" t="str">
        <f>IFERROR(__xludf.DUMMYFUNCTION("""COMPUTED_VALUE"""),"teve época que eu combinava um conjunto de serviços gratuitos para serem utilizados, Heroku, eu combinava uns serviços gratuitos para rodar essas coisas. Já tive uma parceria pra usar fechado. [...] tem o Red Hat Academy, né, que você pode usar o OpenShif"&amp;"t, e tudo mais no contexto do esforço que você quiser dar. Então, esse tipo de coisa ajuda bastante.")</f>
        <v>teve época que eu combinava um conjunto de serviços gratuitos para serem utilizados, Heroku, eu combinava uns serviços gratuitos para rodar essas coisas. Já tive uma parceria pra usar fechado. [...] tem o Red Hat Academy, né, que você pode usar o OpenShift, e tudo mais no contexto do esforço que você quiser dar. Então, esse tipo de coisa ajuda bastante.</v>
      </c>
      <c r="G253" s="22" t="str">
        <f>if(QuotesCheckJudgeAbstract&lt;&gt;"",QuotesCheckJudgeAbstract,if(or(QuotesCheckJudge="",and(QuotesCheckJudge = "primeiro", QuotesCheckChallengeRecommendation1 &lt;&gt; "")), QuotesCheckAbstract1,if(and(QuotesCheckJudge = "segundo", QuotesCheckChallengeRecommendation2 &lt;&gt; ""), QuotesCheckAbstract2,"")))</f>
        <v>Use private cloud services through academia-industry partnerships such as Red Hat Academy.</v>
      </c>
    </row>
    <row r="254">
      <c r="A254" s="22">
        <f>IFERROR(__xludf.DUMMYFUNCTION("if(or(QuotesCheckJudge="""",and(QuotesCheckJudge = ""primeiro"", QuotesCheckChallengeRecommendation1 &lt;&gt; """"),and(QuotesCheckJudge = ""segundo"", QuotesCheckChallengeRecommendation2 &lt;&gt; """")), filter('Quotes-Check'!A254:D254, 'Quotes-Check'!A254:D254&lt;&gt;""g"&amp;"lugluieie""),"""")"),7.0)</f>
        <v>7</v>
      </c>
      <c r="B254" s="22">
        <f>IFERROR(__xludf.DUMMYFUNCTION("""COMPUTED_VALUE"""),8.0)</f>
        <v>8</v>
      </c>
      <c r="C254" s="40" t="str">
        <f>IFERROR(__xludf.DUMMYFUNCTION("""COMPUTED_VALUE"""),"R1 / R3")</f>
        <v>R1 / R3</v>
      </c>
      <c r="D254" s="22" t="str">
        <f>IFERROR(__xludf.DUMMYFUNCTION("""COMPUTED_VALUE"""),"Pedagogy")</f>
        <v>Pedagogy</v>
      </c>
      <c r="E254" s="46" t="str">
        <f>IFERROR(__xludf.DUMMYFUNCTION("if(or(QuotesCheckJudge="""",and(QuotesCheckJudge = ""primeiro"", QuotesCheckChallengeRecommendation1 &lt;&gt; """")), filter('Quotes-Check'!E254:F254, 'Quotes-Check'!E254:F254&lt;&gt;""glugluieie""),if(and(QuotesCheckJudge = ""segundo"", QuotesCheckChallengeRecommend"&amp;"ation2 &lt;&gt; """"), filter('Quotes-Check'!I254:J254, 'Quotes-Check'!I254:J254&lt;&gt;""glugluieie""),""""))"),"recommendation")</f>
        <v>recommendation</v>
      </c>
      <c r="F254" s="22" t="str">
        <f>IFERROR(__xludf.DUMMYFUNCTION("""COMPUTED_VALUE"""),"é PBL casa muito bem com, pelo menos assim, na forma que eu enxergo os sinais DevOps ou arquitetura, ou MicroServices, que é uma outra disciplina que eu tenho, fica legal porque você consegue partir do problema e mostrar porque que a galera tá utilizando "&amp;"o que tá utilizando. Então, eu acho que casa perfeitamente, ")</f>
        <v>é PBL casa muito bem com, pelo menos assim, na forma que eu enxergo os sinais DevOps ou arquitetura, ou MicroServices, que é uma outra disciplina que eu tenho, fica legal porque você consegue partir do problema e mostrar porque que a galera tá utilizando o que tá utilizando. Então, eu acho que casa perfeitamente, </v>
      </c>
      <c r="G254" s="22" t="str">
        <f>if(QuotesCheckJudgeAbstract&lt;&gt;"",QuotesCheckJudgeAbstract,if(or(QuotesCheckJudge="",and(QuotesCheckJudge = "primeiro", QuotesCheckChallengeRecommendation1 &lt;&gt; "")), QuotesCheckAbstract1,if(and(QuotesCheckJudge = "segundo", QuotesCheckChallengeRecommendation2 &lt;&gt; ""), QuotesCheckAbstract2,"")))</f>
        <v>Make use of Problem-Based Learning (PBL).</v>
      </c>
    </row>
    <row r="255">
      <c r="A255" s="22">
        <f>IFERROR(__xludf.DUMMYFUNCTION("if(or(QuotesCheckJudge="""",and(QuotesCheckJudge = ""primeiro"", QuotesCheckChallengeRecommendation1 &lt;&gt; """"),and(QuotesCheckJudge = ""segundo"", QuotesCheckChallengeRecommendation2 &lt;&gt; """")), filter('Quotes-Check'!A255:D255, 'Quotes-Check'!A255:D255&lt;&gt;""g"&amp;"lugluieie""),"""")"),7.0)</f>
        <v>7</v>
      </c>
      <c r="B255" s="22">
        <f>IFERROR(__xludf.DUMMYFUNCTION("""COMPUTED_VALUE"""),8.0)</f>
        <v>8</v>
      </c>
      <c r="C255" s="2" t="str">
        <f>IFERROR(__xludf.DUMMYFUNCTION("""COMPUTED_VALUE"""),"R1 / R3")</f>
        <v>R1 / R3</v>
      </c>
      <c r="D255" s="22" t="str">
        <f>IFERROR(__xludf.DUMMYFUNCTION("""COMPUTED_VALUE"""),"Pedagogy")</f>
        <v>Pedagogy</v>
      </c>
      <c r="E255" s="46" t="str">
        <f>IFERROR(__xludf.DUMMYFUNCTION("if(or(QuotesCheckJudge="""",and(QuotesCheckJudge = ""primeiro"", QuotesCheckChallengeRecommendation1 &lt;&gt; """")), filter('Quotes-Check'!E255:F255, 'Quotes-Check'!E255:F255&lt;&gt;""glugluieie""),if(and(QuotesCheckJudge = ""segundo"", QuotesCheckChallengeRecommend"&amp;"ation2 &lt;&gt; """"), filter('Quotes-Check'!I255:J255, 'Quotes-Check'!I255:J255&lt;&gt;""glugluieie""),""""))"),"recommendation")</f>
        <v>recommendation</v>
      </c>
      <c r="F255" s="22" t="str">
        <f>IFERROR(__xludf.DUMMYFUNCTION("""COMPUTED_VALUE"""),"Hoje, eu não uso, eu uso não só PBL, tem sala de aula invertida, né? Acho que essa tradução pro português, trabalho com missões, né? Então, assim, a própria execução é Agile, a gente tem sempre um post-mortems para cada missão. A minha metodologia hoje, d"&amp;"e trabalho, é uma combinação de uma série de boas práticas distintas que vem parte da minha experiência profissional e parte do que eu aprendi vendo que dava certo e não dava certo lecionando. ")</f>
        <v>Hoje, eu não uso, eu uso não só PBL, tem sala de aula invertida, né? Acho que essa tradução pro português, trabalho com missões, né? Então, assim, a própria execução é Agile, a gente tem sempre um post-mortems para cada missão. A minha metodologia hoje, de trabalho, é uma combinação de uma série de boas práticas distintas que vem parte da minha experiência profissional e parte do que eu aprendi vendo que dava certo e não dava certo lecionando. </v>
      </c>
      <c r="G255" s="22" t="str">
        <f>if(QuotesCheckJudgeAbstract&lt;&gt;"",QuotesCheckJudgeAbstract,if(or(QuotesCheckJudge="",and(QuotesCheckJudge = "primeiro", QuotesCheckChallengeRecommendation1 &lt;&gt; "")), QuotesCheckAbstract1,if(and(QuotesCheckJudge = "segundo", QuotesCheckChallengeRecommendation2 &lt;&gt; ""), QuotesCheckAbstract2,"")))</f>
        <v>Merge good practices of Problem-Based Learning (PBL), inverted class and Agile, through classroom experimentation.</v>
      </c>
    </row>
    <row r="256">
      <c r="A256" s="22">
        <f>IFERROR(__xludf.DUMMYFUNCTION("if(or(QuotesCheckJudge="""",and(QuotesCheckJudge = ""primeiro"", QuotesCheckChallengeRecommendation1 &lt;&gt; """"),and(QuotesCheckJudge = ""segundo"", QuotesCheckChallengeRecommendation2 &lt;&gt; """")), filter('Quotes-Check'!A256:D256, 'Quotes-Check'!A256:D256&lt;&gt;""g"&amp;"lugluieie""),"""")"),7.0)</f>
        <v>7</v>
      </c>
      <c r="B256" s="22">
        <f>IFERROR(__xludf.DUMMYFUNCTION("""COMPUTED_VALUE"""),8.0)</f>
        <v>8</v>
      </c>
      <c r="C256" s="2" t="str">
        <f>IFERROR(__xludf.DUMMYFUNCTION("""COMPUTED_VALUE"""),"R1 / R3")</f>
        <v>R1 / R3</v>
      </c>
      <c r="D256" s="22" t="str">
        <f>IFERROR(__xludf.DUMMYFUNCTION("""COMPUTED_VALUE"""),"Pedagogy")</f>
        <v>Pedagogy</v>
      </c>
      <c r="E256" s="46" t="str">
        <f>IFERROR(__xludf.DUMMYFUNCTION("if(or(QuotesCheckJudge="""",and(QuotesCheckJudge = ""primeiro"", QuotesCheckChallengeRecommendation1 &lt;&gt; """")), filter('Quotes-Check'!E256:F256, 'Quotes-Check'!E256:F256&lt;&gt;""glugluieie""),if(and(QuotesCheckJudge = ""segundo"", QuotesCheckChallengeRecommend"&amp;"ation2 &lt;&gt; """"), filter('Quotes-Check'!I256:J256, 'Quotes-Check'!I256:J256&lt;&gt;""glugluieie""),""""))"),"challenge")</f>
        <v>challenge</v>
      </c>
      <c r="F256" s="22" t="str">
        <f>IFERROR(__xludf.DUMMYFUNCTION("""COMPUTED_VALUE"""),"não dá pra ensinar DevOps sem viver DevOps, né? Não dá pra você ler num livro e querer ensinar DevOps porque DevOps é uma disciplina muito prática, tem muita coisa que acontece na prática. Então, aparece muita dúvida, desde conceitos, quanto a erro de con"&amp;"figuração do Kubernetes, por exemplo. Então, são coisas que a gente tem que lidar. ... Então, se aventurar a ensinar DevOps, cair de paraquedas, aí é um desafio grande, porque o nível de conhecimento que você vai ter que coletar para isso, é bastante dive"&amp;"rso e multidisciplinar.
")</f>
        <v>não dá pra ensinar DevOps sem viver DevOps, né? Não dá pra você ler num livro e querer ensinar DevOps porque DevOps é uma disciplina muito prática, tem muita coisa que acontece na prática. Então, aparece muita dúvida, desde conceitos, quanto a erro de configuração do Kubernetes, por exemplo. Então, são coisas que a gente tem que lidar. ... Então, se aventurar a ensinar DevOps, cair de paraquedas, aí é um desafio grande, porque o nível de conhecimento que você vai ter que coletar para isso, é bastante diverso e multidisciplinar.
</v>
      </c>
      <c r="G256" s="22" t="str">
        <f>if(QuotesCheckJudgeAbstract&lt;&gt;"",QuotesCheckJudgeAbstract,if(or(QuotesCheckJudge="",and(QuotesCheckJudge = "primeiro", QuotesCheckChallengeRecommendation1 &lt;&gt; "")), QuotesCheckAbstract1,if(and(QuotesCheckJudge = "segundo", QuotesCheckChallengeRecommendation2 &lt;&gt; ""), QuotesCheckAbstract2,"")))</f>
        <v>There is a very diverse and multidisciplinary knowledge in teaching DevOps.</v>
      </c>
    </row>
    <row r="257">
      <c r="A257" s="22">
        <f>IFERROR(__xludf.DUMMYFUNCTION("if(or(QuotesCheckJudge="""",and(QuotesCheckJudge = ""primeiro"", QuotesCheckChallengeRecommendation1 &lt;&gt; """"),and(QuotesCheckJudge = ""segundo"", QuotesCheckChallengeRecommendation2 &lt;&gt; """")), filter('Quotes-Check'!A257:D257, 'Quotes-Check'!A257:D257&lt;&gt;""g"&amp;"lugluieie""),"""")"),7.0)</f>
        <v>7</v>
      </c>
      <c r="B257" s="22">
        <f>IFERROR(__xludf.DUMMYFUNCTION("""COMPUTED_VALUE"""),9.0)</f>
        <v>9</v>
      </c>
      <c r="C257" s="2" t="str">
        <f>IFERROR(__xludf.DUMMYFUNCTION("""COMPUTED_VALUE"""),"R1 / R3")</f>
        <v>R1 / R3</v>
      </c>
      <c r="D257" s="22" t="str">
        <f>IFERROR(__xludf.DUMMYFUNCTION("""COMPUTED_VALUE"""),"Other Challenge and Recommendation")</f>
        <v>Other Challenge and Recommendation</v>
      </c>
      <c r="E257" s="46" t="str">
        <f>IFERROR(__xludf.DUMMYFUNCTION("if(or(QuotesCheckJudge="""",and(QuotesCheckJudge = ""primeiro"", QuotesCheckChallengeRecommendation1 &lt;&gt; """")), filter('Quotes-Check'!E257:F257, 'Quotes-Check'!E257:F257&lt;&gt;""glugluieie""),if(and(QuotesCheckJudge = ""segundo"", QuotesCheckChallengeRecommend"&amp;"ation2 &lt;&gt; """"), filter('Quotes-Check'!I257:J257, 'Quotes-Check'!I257:J257&lt;&gt;""glugluieie""),""""))"),"challenge")</f>
        <v>challenge</v>
      </c>
      <c r="F257" s="22" t="str">
        <f>IFERROR(__xludf.DUMMYFUNCTION("""COMPUTED_VALUE"""),"Esse plano de ensino ele não é e nem deve ser finalizado, né? Ele não tem, ele não tá pronto nunca. ... As coisas mudam muito rápido, o foco muda muito rápido.")</f>
        <v>Esse plano de ensino ele não é e nem deve ser finalizado, né? Ele não tem, ele não tá pronto nunca. ... As coisas mudam muito rápido, o foco muda muito rápido.</v>
      </c>
      <c r="G257" s="22" t="str">
        <f>if(QuotesCheckJudgeAbstract&lt;&gt;"",QuotesCheckJudgeAbstract,if(or(QuotesCheckJudge="",and(QuotesCheckJudge = "primeiro", QuotesCheckChallengeRecommendation1 &lt;&gt; "")), QuotesCheckAbstract1,if(and(QuotesCheckJudge = "segundo", QuotesCheckChallengeRecommendation2 &lt;&gt; ""), QuotesCheckAbstract2,"")))</f>
        <v>Rapid and constant changes in DevOps make it difficult to create a teaching plan.</v>
      </c>
    </row>
    <row r="258">
      <c r="A258" s="22">
        <f>IFERROR(__xludf.DUMMYFUNCTION("if(or(QuotesCheckJudge="""",and(QuotesCheckJudge = ""primeiro"", QuotesCheckChallengeRecommendation1 &lt;&gt; """"),and(QuotesCheckJudge = ""segundo"", QuotesCheckChallengeRecommendation2 &lt;&gt; """")), filter('Quotes-Check'!A258:D258, 'Quotes-Check'!A258:D258&lt;&gt;""g"&amp;"lugluieie""),"""")"),7.0)</f>
        <v>7</v>
      </c>
      <c r="B258" s="22">
        <f>IFERROR(__xludf.DUMMYFUNCTION("""COMPUTED_VALUE"""),9.0)</f>
        <v>9</v>
      </c>
      <c r="C258" s="2" t="str">
        <f>IFERROR(__xludf.DUMMYFUNCTION("""COMPUTED_VALUE"""),"R1 / R3")</f>
        <v>R1 / R3</v>
      </c>
      <c r="D258" s="22" t="str">
        <f>IFERROR(__xludf.DUMMYFUNCTION("""COMPUTED_VALUE"""),"Other Challenge and Recommendation")</f>
        <v>Other Challenge and Recommendation</v>
      </c>
      <c r="E258" s="46" t="str">
        <f>IFERROR(__xludf.DUMMYFUNCTION("if(or(QuotesCheckJudge="""",and(QuotesCheckJudge = ""primeiro"", QuotesCheckChallengeRecommendation1 &lt;&gt; """")), filter('Quotes-Check'!E258:F258, 'Quotes-Check'!E258:F258&lt;&gt;""glugluieie""),if(and(QuotesCheckJudge = ""segundo"", QuotesCheckChallengeRecommend"&amp;"ation2 &lt;&gt; """"), filter('Quotes-Check'!I258:J258, 'Quotes-Check'!I258:J258&lt;&gt;""glugluieie""),""""))"),"challenge")</f>
        <v>challenge</v>
      </c>
      <c r="F258" s="22" t="str">
        <f>IFERROR(__xludf.DUMMYFUNCTION("""COMPUTED_VALUE"""),"DevOps acaba te forçando a tocar em uma série de outros universos, né? Principalmente se você for para projeto como método de avaliação. Então, esse é um outro grande desafio, você se manter atento ao que está acontecendo, que pode ser correlacionado e qu"&amp;"e você pode trazer como escopo em aberto para ser trabalhado também na disciplina, com esse tipo de direcionamento. Que no meu caso, vem aluno de IA, vem aluno de Banco, vem aluno de Engenharia de Software, pagar a cadeira na pós, e que aí não dá pra fica"&amp;"r só no contexto de desenvolver software, de entregar softwares no DevOps, né? Tem todo um outro contexto de coisas relacionadas, por exemplo, à operação, análise de infraestrutura, aprendizado, predição, e por aí vai.
")</f>
        <v>DevOps acaba te forçando a tocar em uma série de outros universos, né? Principalmente se você for para projeto como método de avaliação. Então, esse é um outro grande desafio, você se manter atento ao que está acontecendo, que pode ser correlacionado e que você pode trazer como escopo em aberto para ser trabalhado também na disciplina, com esse tipo de direcionamento. Que no meu caso, vem aluno de IA, vem aluno de Banco, vem aluno de Engenharia de Software, pagar a cadeira na pós, e que aí não dá pra ficar só no contexto de desenvolver software, de entregar softwares no DevOps, né? Tem todo um outro contexto de coisas relacionadas, por exemplo, à operação, análise de infraestrutura, aprendizado, predição, e por aí vai.
</v>
      </c>
      <c r="G258" s="22" t="str">
        <f>if(QuotesCheckJudgeAbstract&lt;&gt;"",QuotesCheckJudgeAbstract,if(or(QuotesCheckJudge="",and(QuotesCheckJudge = "primeiro", QuotesCheckChallengeRecommendation1 &lt;&gt; "")), QuotesCheckAbstract1,if(and(QuotesCheckJudge = "segundo", QuotesCheckChallengeRecommendation2 &lt;&gt; ""), QuotesCheckAbstract2,"")))</f>
        <v>Difficulty in linking DevOps classes with other subjects of interest to students.</v>
      </c>
    </row>
    <row r="259">
      <c r="A259" s="22">
        <f>IFERROR(__xludf.DUMMYFUNCTION("if(or(QuotesCheckJudge="""",and(QuotesCheckJudge = ""primeiro"", QuotesCheckChallengeRecommendation1 &lt;&gt; """"),and(QuotesCheckJudge = ""segundo"", QuotesCheckChallengeRecommendation2 &lt;&gt; """")), filter('Quotes-Check'!A259:D259, 'Quotes-Check'!A259:D259&lt;&gt;""g"&amp;"lugluieie""),"""")"),8.0)</f>
        <v>8</v>
      </c>
      <c r="B259" s="22">
        <f>IFERROR(__xludf.DUMMYFUNCTION("""COMPUTED_VALUE"""),1.0)</f>
        <v>1</v>
      </c>
      <c r="C259" s="2" t="str">
        <f>IFERROR(__xludf.DUMMYFUNCTION("""COMPUTED_VALUE"""),"R1 / R2")</f>
        <v>R1 / R2</v>
      </c>
      <c r="D259" s="22" t="str">
        <f>IFERROR(__xludf.DUMMYFUNCTION("""COMPUTED_VALUE"""),"Educator Experience")</f>
        <v>Educator Experience</v>
      </c>
      <c r="E259" s="46" t="str">
        <f>IFERROR(__xludf.DUMMYFUNCTION("if(or(QuotesCheckJudge="""",and(QuotesCheckJudge = ""primeiro"", QuotesCheckChallengeRecommendation1 &lt;&gt; """")), filter('Quotes-Check'!E259:F259, 'Quotes-Check'!E259:F259&lt;&gt;""glugluieie""),if(and(QuotesCheckJudge = ""segundo"", QuotesCheckChallengeRecommend"&amp;"ation2 &lt;&gt; """"), filter('Quotes-Check'!I259:J259, 'Quotes-Check'!I259:J259&lt;&gt;""glugluieie""),""""))"),"challenge")</f>
        <v>challenge</v>
      </c>
      <c r="F259" s="22" t="str">
        <f>IFERROR(__xludf.DUMMYFUNCTION("""COMPUTED_VALUE"""),"Culture is difficult to teach.")</f>
        <v>Culture is difficult to teach.</v>
      </c>
      <c r="G259" s="22" t="str">
        <f>if(QuotesCheckJudgeAbstract&lt;&gt;"",QuotesCheckJudgeAbstract,if(or(QuotesCheckJudge="",and(QuotesCheckJudge = "primeiro", QuotesCheckChallengeRecommendation1 &lt;&gt; "")), QuotesCheckAbstract1,if(and(QuotesCheckJudge = "segundo", QuotesCheckChallengeRecommendation2 &lt;&gt; ""), QuotesCheckAbstract2,"")))</f>
        <v>Culture is difficult to teach.</v>
      </c>
    </row>
    <row r="260">
      <c r="A260" s="22">
        <f>IFERROR(__xludf.DUMMYFUNCTION("if(or(QuotesCheckJudge="""",and(QuotesCheckJudge = ""primeiro"", QuotesCheckChallengeRecommendation1 &lt;&gt; """"),and(QuotesCheckJudge = ""segundo"", QuotesCheckChallengeRecommendation2 &lt;&gt; """")), filter('Quotes-Check'!A260:D260, 'Quotes-Check'!A260:D260&lt;&gt;""g"&amp;"lugluieie""),"""")"),8.0)</f>
        <v>8</v>
      </c>
      <c r="B260" s="22">
        <f>IFERROR(__xludf.DUMMYFUNCTION("""COMPUTED_VALUE"""),1.0)</f>
        <v>1</v>
      </c>
      <c r="C260" s="2" t="str">
        <f>IFERROR(__xludf.DUMMYFUNCTION("""COMPUTED_VALUE"""),"R1 / R2")</f>
        <v>R1 / R2</v>
      </c>
      <c r="D260" s="22" t="str">
        <f>IFERROR(__xludf.DUMMYFUNCTION("""COMPUTED_VALUE"""),"Educator Experience")</f>
        <v>Educator Experience</v>
      </c>
      <c r="E260" s="46" t="str">
        <f>IFERROR(__xludf.DUMMYFUNCTION("if(or(QuotesCheckJudge="""",and(QuotesCheckJudge = ""primeiro"", QuotesCheckChallengeRecommendation1 &lt;&gt; """")), filter('Quotes-Check'!E260:F260, 'Quotes-Check'!E260:F260&lt;&gt;""glugluieie""),if(and(QuotesCheckJudge = ""segundo"", QuotesCheckChallengeRecommend"&amp;"ation2 &lt;&gt; """"), filter('Quotes-Check'!I260:J260, 'Quotes-Check'!I260:J260&lt;&gt;""glugluieie""),""""))"),"recommendation")</f>
        <v>recommendation</v>
      </c>
      <c r="F260" s="22" t="str">
        <f>IFERROR(__xludf.DUMMYFUNCTION("""COMPUTED_VALUE"""),"the only way to teach culture, the only way to experience culture is to immerse the students in the culture. [...] one of the examples I give to my students is I say, you know, I took three years of Spanish in high school and I don't speak a word of Spani"&amp;"sh, but I bet if I spent a summer in Spain, I would come back speaking, fluent Spanish. So I tell them: ""this class is your summer in Spain"", right? We are going to live DevOps. We're going to experience DevOps. And that's the only way you can properly "&amp;"teach it. ")</f>
        <v>the only way to teach culture, the only way to experience culture is to immerse the students in the culture. [...] one of the examples I give to my students is I say, you know, I took three years of Spanish in high school and I don't speak a word of Spanish, but I bet if I spent a summer in Spain, I would come back speaking, fluent Spanish. So I tell them: "this class is your summer in Spain", right? We are going to live DevOps. We're going to experience DevOps. And that's the only way you can properly teach it. </v>
      </c>
      <c r="G260" s="22" t="str">
        <f>if(QuotesCheckJudgeAbstract&lt;&gt;"",QuotesCheckJudgeAbstract,if(or(QuotesCheckJudge="",and(QuotesCheckJudge = "primeiro", QuotesCheckChallengeRecommendation1 &lt;&gt; "")), QuotesCheckAbstract1,if(and(QuotesCheckJudge = "segundo", QuotesCheckChallengeRecommendation2 &lt;&gt; ""), QuotesCheckAbstract2,"")))</f>
        <v>Live DevOps and its culture is the best way to learn it.</v>
      </c>
    </row>
    <row r="261">
      <c r="A261" s="22">
        <f>IFERROR(__xludf.DUMMYFUNCTION("if(or(QuotesCheckJudge="""",and(QuotesCheckJudge = ""primeiro"", QuotesCheckChallengeRecommendation1 &lt;&gt; """"),and(QuotesCheckJudge = ""segundo"", QuotesCheckChallengeRecommendation2 &lt;&gt; """")), filter('Quotes-Check'!A261:D261, 'Quotes-Check'!A261:D261&lt;&gt;""g"&amp;"lugluieie""),"""")"),8.0)</f>
        <v>8</v>
      </c>
      <c r="B261" s="22">
        <f>IFERROR(__xludf.DUMMYFUNCTION("""COMPUTED_VALUE"""),1.0)</f>
        <v>1</v>
      </c>
      <c r="C261" s="2" t="str">
        <f>IFERROR(__xludf.DUMMYFUNCTION("""COMPUTED_VALUE"""),"R1 / R2")</f>
        <v>R1 / R2</v>
      </c>
      <c r="D261" s="22" t="str">
        <f>IFERROR(__xludf.DUMMYFUNCTION("""COMPUTED_VALUE"""),"Educator Experience")</f>
        <v>Educator Experience</v>
      </c>
      <c r="E261" s="46" t="str">
        <f>IFERROR(__xludf.DUMMYFUNCTION("if(or(QuotesCheckJudge="""",and(QuotesCheckJudge = ""primeiro"", QuotesCheckChallengeRecommendation1 &lt;&gt; """")), filter('Quotes-Check'!E261:F261, 'Quotes-Check'!E261:F261&lt;&gt;""glugluieie""),if(and(QuotesCheckJudge = ""segundo"", QuotesCheckChallengeRecommend"&amp;"ation2 &lt;&gt; """"), filter('Quotes-Check'!I261:J261, 'Quotes-Check'!I261:J261&lt;&gt;""glugluieie""),""""))"),"recommendation")</f>
        <v>recommendation</v>
      </c>
      <c r="F261" s="22" t="str">
        <f>IFERROR(__xludf.DUMMYFUNCTION("""COMPUTED_VALUE"""),"I break them up into nine teams of five students each")</f>
        <v>I break them up into nine teams of five students each</v>
      </c>
      <c r="G261" s="22" t="str">
        <f>if(QuotesCheckJudgeAbstract&lt;&gt;"",QuotesCheckJudgeAbstract,if(or(QuotesCheckJudge="",and(QuotesCheckJudge = "primeiro", QuotesCheckChallengeRecommendation1 &lt;&gt; "")), QuotesCheckAbstract1,if(and(QuotesCheckJudge = "segundo", QuotesCheckChallengeRecommendation2 &lt;&gt; ""), QuotesCheckAbstract2,"")))</f>
        <v>Organize the students into teams of five.</v>
      </c>
    </row>
    <row r="262">
      <c r="A262" s="22">
        <f>IFERROR(__xludf.DUMMYFUNCTION("if(or(QuotesCheckJudge="""",and(QuotesCheckJudge = ""primeiro"", QuotesCheckChallengeRecommendation1 &lt;&gt; """"),and(QuotesCheckJudge = ""segundo"", QuotesCheckChallengeRecommendation2 &lt;&gt; """")), filter('Quotes-Check'!A262:D262, 'Quotes-Check'!A262:D262&lt;&gt;""g"&amp;"lugluieie""),"""")"),8.0)</f>
        <v>8</v>
      </c>
      <c r="B262" s="22">
        <f>IFERROR(__xludf.DUMMYFUNCTION("""COMPUTED_VALUE"""),1.0)</f>
        <v>1</v>
      </c>
      <c r="C262" s="2" t="str">
        <f>IFERROR(__xludf.DUMMYFUNCTION("""COMPUTED_VALUE"""),"R1 / R2")</f>
        <v>R1 / R2</v>
      </c>
      <c r="D262" s="22" t="str">
        <f>IFERROR(__xludf.DUMMYFUNCTION("""COMPUTED_VALUE"""),"Educator Experience")</f>
        <v>Educator Experience</v>
      </c>
      <c r="E262" s="46" t="str">
        <f>IFERROR(__xludf.DUMMYFUNCTION("if(or(QuotesCheckJudge="""",and(QuotesCheckJudge = ""primeiro"", QuotesCheckChallengeRecommendation1 &lt;&gt; """")), filter('Quotes-Check'!E262:F262, 'Quotes-Check'!E262:F262&lt;&gt;""glugluieie""),if(and(QuotesCheckJudge = ""segundo"", QuotesCheckChallengeRecommend"&amp;"ation2 &lt;&gt; """"), filter('Quotes-Check'!I262:J262, 'Quotes-Check'!I262:J262&lt;&gt;""glugluieie""),""""))"),"recommendation")</f>
        <v>recommendation</v>
      </c>
      <c r="F262" s="22" t="str">
        <f>IFERROR(__xludf.DUMMYFUNCTION("""COMPUTED_VALUE""")," I teach them about social coding. ")</f>
        <v> I teach them about social coding. </v>
      </c>
      <c r="G262" s="22" t="str">
        <f>if(QuotesCheckJudgeAbstract&lt;&gt;"",QuotesCheckJudgeAbstract,if(or(QuotesCheckJudge="",and(QuotesCheckJudge = "primeiro", QuotesCheckChallengeRecommendation1 &lt;&gt; "")), QuotesCheckAbstract1,if(and(QuotesCheckJudge = "segundo", QuotesCheckChallengeRecommendation2 &lt;&gt; ""), QuotesCheckAbstract2,"")))</f>
        <v>Teach social coding.</v>
      </c>
    </row>
    <row r="263">
      <c r="A263" s="22">
        <f>IFERROR(__xludf.DUMMYFUNCTION("if(or(QuotesCheckJudge="""",and(QuotesCheckJudge = ""primeiro"", QuotesCheckChallengeRecommendation1 &lt;&gt; """"),and(QuotesCheckJudge = ""segundo"", QuotesCheckChallengeRecommendation2 &lt;&gt; """")), filter('Quotes-Check'!A263:D263, 'Quotes-Check'!A263:D263&lt;&gt;""g"&amp;"lugluieie""),"""")"),8.0)</f>
        <v>8</v>
      </c>
      <c r="B263" s="22">
        <f>IFERROR(__xludf.DUMMYFUNCTION("""COMPUTED_VALUE"""),1.0)</f>
        <v>1</v>
      </c>
      <c r="C263" s="2" t="str">
        <f>IFERROR(__xludf.DUMMYFUNCTION("""COMPUTED_VALUE"""),"R1 / R2")</f>
        <v>R1 / R2</v>
      </c>
      <c r="D263" s="22" t="str">
        <f>IFERROR(__xludf.DUMMYFUNCTION("""COMPUTED_VALUE"""),"Educator Experience")</f>
        <v>Educator Experience</v>
      </c>
      <c r="E263" s="46" t="str">
        <f>IFERROR(__xludf.DUMMYFUNCTION("if(or(QuotesCheckJudge="""",and(QuotesCheckJudge = ""primeiro"", QuotesCheckChallengeRecommendation1 &lt;&gt; """")), filter('Quotes-Check'!E263:F263, 'Quotes-Check'!E263:F263&lt;&gt;""glugluieie""),if(and(QuotesCheckJudge = ""segundo"", QuotesCheckChallengeRecommend"&amp;"ation2 &lt;&gt; """"), filter('Quotes-Check'!I263:J263, 'Quotes-Check'!I263:J263&lt;&gt;""glugluieie""),""""))"),"recommendation")</f>
        <v>recommendation</v>
      </c>
      <c r="F263" s="22" t="str">
        <f>IFERROR(__xludf.DUMMYFUNCTION("""COMPUTED_VALUE""")," I teach them about the git feature branch workflow. ")</f>
        <v> I teach them about the git feature branch workflow. </v>
      </c>
      <c r="G263" s="22" t="str">
        <f>if(QuotesCheckJudgeAbstract&lt;&gt;"",QuotesCheckJudgeAbstract,if(or(QuotesCheckJudge="",and(QuotesCheckJudge = "primeiro", QuotesCheckChallengeRecommendation1 &lt;&gt; "")), QuotesCheckAbstract1,if(and(QuotesCheckJudge = "segundo", QuotesCheckChallengeRecommendation2 &lt;&gt; ""), QuotesCheckAbstract2,"")))</f>
        <v>Teach git feature branch workflow.</v>
      </c>
    </row>
    <row r="264">
      <c r="A264" s="22">
        <f>IFERROR(__xludf.DUMMYFUNCTION("if(or(QuotesCheckJudge="""",and(QuotesCheckJudge = ""primeiro"", QuotesCheckChallengeRecommendation1 &lt;&gt; """"),and(QuotesCheckJudge = ""segundo"", QuotesCheckChallengeRecommendation2 &lt;&gt; """")), filter('Quotes-Check'!A264:D264, 'Quotes-Check'!A264:D264&lt;&gt;""g"&amp;"lugluieie""),"""")"),8.0)</f>
        <v>8</v>
      </c>
      <c r="B264" s="22">
        <f>IFERROR(__xludf.DUMMYFUNCTION("""COMPUTED_VALUE"""),1.0)</f>
        <v>1</v>
      </c>
      <c r="C264" s="2" t="str">
        <f>IFERROR(__xludf.DUMMYFUNCTION("""COMPUTED_VALUE"""),"R1 / R2")</f>
        <v>R1 / R2</v>
      </c>
      <c r="D264" s="22" t="str">
        <f>IFERROR(__xludf.DUMMYFUNCTION("""COMPUTED_VALUE"""),"Educator Experience")</f>
        <v>Educator Experience</v>
      </c>
      <c r="E264" s="46" t="str">
        <f>IFERROR(__xludf.DUMMYFUNCTION("if(or(QuotesCheckJudge="""",and(QuotesCheckJudge = ""primeiro"", QuotesCheckChallengeRecommendation1 &lt;&gt; """")), filter('Quotes-Check'!E264:F264, 'Quotes-Check'!E264:F264&lt;&gt;""glugluieie""),if(and(QuotesCheckJudge = ""segundo"", QuotesCheckChallengeRecommend"&amp;"ation2 &lt;&gt; """"), filter('Quotes-Check'!I264:J264, 'Quotes-Check'!I264:J264&lt;&gt;""glugluieie""),""""))"),"recommendation")</f>
        <v>recommendation</v>
      </c>
      <c r="F264" s="22" t="str">
        <f>IFERROR(__xludf.DUMMYFUNCTION("""COMPUTED_VALUE"""),"I tell them, I am not going to grade you on what you submit. I'm going to grade you on how you got there because getting there is not the point. It's the journey, right? That's the point. [...] I teach them that every failure is a learning opportunity. If"&amp;" you fail and you learn something, you get credit. It's not a failure because you've learned something, we're here to learn. ")</f>
        <v>I tell them, I am not going to grade you on what you submit. I'm going to grade you on how you got there because getting there is not the point. It's the journey, right? That's the point. [...] I teach them that every failure is a learning opportunity. If you fail and you learn something, you get credit. It's not a failure because you've learned something, we're here to learn. </v>
      </c>
      <c r="G264" s="22" t="str">
        <f>if(QuotesCheckJudgeAbstract&lt;&gt;"",QuotesCheckJudgeAbstract,if(or(QuotesCheckJudge="",and(QuotesCheckJudge = "primeiro", QuotesCheckChallengeRecommendation1 &lt;&gt; "")), QuotesCheckAbstract1,if(and(QuotesCheckJudge = "segundo", QuotesCheckChallengeRecommendation2 &lt;&gt; ""), QuotesCheckAbstract2,"")))</f>
        <v>Grade students based on their learning journey and mistakes, not on what they submit. What's important is how they get there, because every failure is learning opportunity.</v>
      </c>
    </row>
    <row r="265">
      <c r="A265" s="22">
        <f>IFERROR(__xludf.DUMMYFUNCTION("if(or(QuotesCheckJudge="""",and(QuotesCheckJudge = ""primeiro"", QuotesCheckChallengeRecommendation1 &lt;&gt; """"),and(QuotesCheckJudge = ""segundo"", QuotesCheckChallengeRecommendation2 &lt;&gt; """")), filter('Quotes-Check'!A265:D265, 'Quotes-Check'!A265:D265&lt;&gt;""g"&amp;"lugluieie""),"""")"),8.0)</f>
        <v>8</v>
      </c>
      <c r="B265" s="22">
        <f>IFERROR(__xludf.DUMMYFUNCTION("""COMPUTED_VALUE"""),1.0)</f>
        <v>1</v>
      </c>
      <c r="C265" s="2" t="str">
        <f>IFERROR(__xludf.DUMMYFUNCTION("""COMPUTED_VALUE"""),"R1 / R2")</f>
        <v>R1 / R2</v>
      </c>
      <c r="D265" s="22" t="str">
        <f>IFERROR(__xludf.DUMMYFUNCTION("""COMPUTED_VALUE"""),"Educator Experience")</f>
        <v>Educator Experience</v>
      </c>
      <c r="E265" s="46" t="str">
        <f>IFERROR(__xludf.DUMMYFUNCTION("if(or(QuotesCheckJudge="""",and(QuotesCheckJudge = ""primeiro"", QuotesCheckChallengeRecommendation1 &lt;&gt; """")), filter('Quotes-Check'!E265:F265, 'Quotes-Check'!E265:F265&lt;&gt;""glugluieie""),if(and(QuotesCheckJudge = ""segundo"", QuotesCheckChallengeRecommend"&amp;"ation2 &lt;&gt; """"), filter('Quotes-Check'!I265:J265, 'Quotes-Check'!I265:J265&lt;&gt;""glugluieie""),""""))"),"recommendation")</f>
        <v>recommendation</v>
      </c>
      <c r="F265" s="22" t="str">
        <f>IFERROR(__xludf.DUMMYFUNCTION("""COMPUTED_VALUE"""),"And then I tell them, I am not going to grade you on what you submit. I'm going to grade you on how you got there because getting there is not the point. It's the journey, right? That's the point. It's how you got there. And so, um, I teach my class in sp"&amp;"rints. We do five, two weeks sprints in a 15-week course. And I give them the requirements for each sprint, what I need them to build. And I teach them how to do agile planning. And then they go build an agile plan.")</f>
        <v>And then I tell them, I am not going to grade you on what you submit. I'm going to grade you on how you got there because getting there is not the point. It's the journey, right? That's the point. It's how you got there. And so, um, I teach my class in sprints. We do five, two weeks sprints in a 15-week course. And I give them the requirements for each sprint, what I need them to build. And I teach them how to do agile planning. And then they go build an agile plan.</v>
      </c>
      <c r="G265" s="22" t="str">
        <f>if(QuotesCheckJudgeAbstract&lt;&gt;"",QuotesCheckJudgeAbstract,if(or(QuotesCheckJudge="",and(QuotesCheckJudge = "primeiro", QuotesCheckChallengeRecommendation1 &lt;&gt; "")), QuotesCheckAbstract1,if(and(QuotesCheckJudge = "segundo", QuotesCheckChallengeRecommendation2 &lt;&gt; ""), QuotesCheckAbstract2,"")))</f>
        <v>I teach my class in sprints. We do five, two weeks sprints in a 15-week course. I give them the requirements for each sprint, what I need them to build and I teach them how to do agile planning. Then they go build an agile plan.</v>
      </c>
    </row>
    <row r="266">
      <c r="A266" s="22">
        <f>IFERROR(__xludf.DUMMYFUNCTION("if(or(QuotesCheckJudge="""",and(QuotesCheckJudge = ""primeiro"", QuotesCheckChallengeRecommendation1 &lt;&gt; """"),and(QuotesCheckJudge = ""segundo"", QuotesCheckChallengeRecommendation2 &lt;&gt; """")), filter('Quotes-Check'!A266:D266, 'Quotes-Check'!A266:D266&lt;&gt;""g"&amp;"lugluieie""),"""")"),8.0)</f>
        <v>8</v>
      </c>
      <c r="B266" s="22">
        <f>IFERROR(__xludf.DUMMYFUNCTION("""COMPUTED_VALUE"""),2.0)</f>
        <v>2</v>
      </c>
      <c r="C266" s="2" t="str">
        <f>IFERROR(__xludf.DUMMYFUNCTION("""COMPUTED_VALUE"""),"R2 / R3")</f>
        <v>R2 / R3</v>
      </c>
      <c r="D266" s="22" t="str">
        <f>IFERROR(__xludf.DUMMYFUNCTION("""COMPUTED_VALUE"""),"Educator Experience")</f>
        <v>Educator Experience</v>
      </c>
      <c r="E266" s="46" t="str">
        <f>IFERROR(__xludf.DUMMYFUNCTION("if(or(QuotesCheckJudge="""",and(QuotesCheckJudge = ""primeiro"", QuotesCheckChallengeRecommendation1 &lt;&gt; """")), filter('Quotes-Check'!E266:F266, 'Quotes-Check'!E266:F266&lt;&gt;""glugluieie""),if(and(QuotesCheckJudge = ""segundo"", QuotesCheckChallengeRecommend"&amp;"ation2 &lt;&gt; """"), filter('Quotes-Check'!I266:J266, 'Quotes-Check'!I266:J266&lt;&gt;""glugluieie""),""""))"),"recommendation")</f>
        <v>recommendation</v>
      </c>
      <c r="F266" s="22" t="str">
        <f>IFERROR(__xludf.DUMMYFUNCTION("""COMPUTED_VALUE"""),"Those are the ones you remember, right? Not just read, right? If you learn in the abstract, you'll soon forget it. But if you learn in context, then you'll remember it because you understood why you did it. So I try to teach them just enough to get them g"&amp;"oing.")</f>
        <v>Those are the ones you remember, right? Not just read, right? If you learn in the abstract, you'll soon forget it. But if you learn in context, then you'll remember it because you understood why you did it. So I try to teach them just enough to get them going.</v>
      </c>
      <c r="G266" s="22" t="str">
        <f>if(QuotesCheckJudgeAbstract&lt;&gt;"",QuotesCheckJudgeAbstract,if(or(QuotesCheckJudge="",and(QuotesCheckJudge = "primeiro", QuotesCheckChallengeRecommendation1 &lt;&gt; "")), QuotesCheckAbstract1,if(and(QuotesCheckJudge = "segundo", QuotesCheckChallengeRecommendation2 &lt;&gt; ""), QuotesCheckAbstract2,"")))</f>
        <v>Teach just enough to get them going so they can learn in the right context.</v>
      </c>
    </row>
    <row r="267">
      <c r="A267" s="22">
        <f>IFERROR(__xludf.DUMMYFUNCTION("if(or(QuotesCheckJudge="""",and(QuotesCheckJudge = ""primeiro"", QuotesCheckChallengeRecommendation1 &lt;&gt; """"),and(QuotesCheckJudge = ""segundo"", QuotesCheckChallengeRecommendation2 &lt;&gt; """")), filter('Quotes-Check'!A267:D267, 'Quotes-Check'!A267:D267&lt;&gt;""g"&amp;"lugluieie""),"""")"),8.0)</f>
        <v>8</v>
      </c>
      <c r="B267" s="22">
        <f>IFERROR(__xludf.DUMMYFUNCTION("""COMPUTED_VALUE"""),2.0)</f>
        <v>2</v>
      </c>
      <c r="C267" s="2" t="str">
        <f>IFERROR(__xludf.DUMMYFUNCTION("""COMPUTED_VALUE"""),"R2 / R3")</f>
        <v>R2 / R3</v>
      </c>
      <c r="D267" s="22" t="str">
        <f>IFERROR(__xludf.DUMMYFUNCTION("""COMPUTED_VALUE"""),"Educator Experience")</f>
        <v>Educator Experience</v>
      </c>
      <c r="E267" s="46" t="str">
        <f>IFERROR(__xludf.DUMMYFUNCTION("if(or(QuotesCheckJudge="""",and(QuotesCheckJudge = ""primeiro"", QuotesCheckChallengeRecommendation1 &lt;&gt; """")), filter('Quotes-Check'!E267:F267, 'Quotes-Check'!E267:F267&lt;&gt;""glugluieie""),if(and(QuotesCheckJudge = ""segundo"", QuotesCheckChallengeRecommend"&amp;"ation2 &lt;&gt; """"), filter('Quotes-Check'!I267:J267, 'Quotes-Check'!I267:J267&lt;&gt;""glugluieie""),""""))"),"recommendation")</f>
        <v>recommendation</v>
      </c>
      <c r="F267" s="22" t="str">
        <f>IFERROR(__xludf.DUMMYFUNCTION("""COMPUTED_VALUE"""),"I teach them how to work as a DevOps team. And we create a slack channel. , and I create a channel for each one of the teams. And they're all collaborating in their channel. They have 24/7 access to me. They can ping me at any time on slack.")</f>
        <v>I teach them how to work as a DevOps team. And we create a slack channel. , and I create a channel for each one of the teams. And they're all collaborating in their channel. They have 24/7 access to me. They can ping me at any time on slack.</v>
      </c>
      <c r="G267" s="22" t="str">
        <f>if(QuotesCheckJudgeAbstract&lt;&gt;"",QuotesCheckJudgeAbstract,if(or(QuotesCheckJudge="",and(QuotesCheckJudge = "primeiro", QuotesCheckChallengeRecommendation1 &lt;&gt; "")), QuotesCheckAbstract1,if(and(QuotesCheckJudge = "segundo", QuotesCheckChallengeRecommendation2 &lt;&gt; ""), QuotesCheckAbstract2,"")))</f>
        <v>I teach them how to work as a DevOps team. And they're all collaborating in their channel. They have 24/7 access to me. They can ping me at any time on slack.</v>
      </c>
    </row>
    <row r="268">
      <c r="A268" s="22">
        <f>IFERROR(__xludf.DUMMYFUNCTION("if(or(QuotesCheckJudge="""",and(QuotesCheckJudge = ""primeiro"", QuotesCheckChallengeRecommendation1 &lt;&gt; """"),and(QuotesCheckJudge = ""segundo"", QuotesCheckChallengeRecommendation2 &lt;&gt; """")), filter('Quotes-Check'!A268:D268, 'Quotes-Check'!A268:D268&lt;&gt;""g"&amp;"lugluieie""),"""")"),8.0)</f>
        <v>8</v>
      </c>
      <c r="B268" s="22">
        <f>IFERROR(__xludf.DUMMYFUNCTION("""COMPUTED_VALUE"""),2.0)</f>
        <v>2</v>
      </c>
      <c r="C268" s="2" t="str">
        <f>IFERROR(__xludf.DUMMYFUNCTION("""COMPUTED_VALUE"""),"R2 / R3")</f>
        <v>R2 / R3</v>
      </c>
      <c r="D268" s="22" t="str">
        <f>IFERROR(__xludf.DUMMYFUNCTION("""COMPUTED_VALUE"""),"Educator Experience")</f>
        <v>Educator Experience</v>
      </c>
      <c r="E268" s="46" t="str">
        <f>IFERROR(__xludf.DUMMYFUNCTION("if(or(QuotesCheckJudge="""",and(QuotesCheckJudge = ""primeiro"", QuotesCheckChallengeRecommendation1 &lt;&gt; """")), filter('Quotes-Check'!E268:F268, 'Quotes-Check'!E268:F268&lt;&gt;""glugluieie""),if(and(QuotesCheckJudge = ""segundo"", QuotesCheckChallengeRecommend"&amp;"ation2 &lt;&gt; """"), filter('Quotes-Check'!I268:J268, 'Quotes-Check'!I268:J268&lt;&gt;""glugluieie""),""""))"),"recommendation")</f>
        <v>recommendation</v>
      </c>
      <c r="F268" s="22" t="str">
        <f>IFERROR(__xludf.DUMMYFUNCTION("""COMPUTED_VALUE"""),"You have a question, ask me the question in the moment, right? Because that's when the answer is important to you.")</f>
        <v>You have a question, ask me the question in the moment, right? Because that's when the answer is important to you.</v>
      </c>
      <c r="G268" s="22" t="str">
        <f>if(QuotesCheckJudgeAbstract&lt;&gt;"",QuotesCheckJudgeAbstract,if(or(QuotesCheckJudge="",and(QuotesCheckJudge = "primeiro", QuotesCheckChallengeRecommendation1 &lt;&gt; "")), QuotesCheckAbstract1,if(and(QuotesCheckJudge = "segundo", QuotesCheckChallengeRecommendation2 &lt;&gt; ""), QuotesCheckAbstract2,"")))</f>
        <v>The student's question should be answered in the moment.</v>
      </c>
    </row>
    <row r="269">
      <c r="A269" s="22">
        <f>IFERROR(__xludf.DUMMYFUNCTION("if(or(QuotesCheckJudge="""",and(QuotesCheckJudge = ""primeiro"", QuotesCheckChallengeRecommendation1 &lt;&gt; """"),and(QuotesCheckJudge = ""segundo"", QuotesCheckChallengeRecommendation2 &lt;&gt; """")), filter('Quotes-Check'!A269:D269, 'Quotes-Check'!A269:D269&lt;&gt;""g"&amp;"lugluieie""),"""")"),8.0)</f>
        <v>8</v>
      </c>
      <c r="B269" s="22">
        <f>IFERROR(__xludf.DUMMYFUNCTION("""COMPUTED_VALUE"""),2.0)</f>
        <v>2</v>
      </c>
      <c r="C269" s="2" t="str">
        <f>IFERROR(__xludf.DUMMYFUNCTION("""COMPUTED_VALUE"""),"R2 / R3")</f>
        <v>R2 / R3</v>
      </c>
      <c r="D269" s="22" t="str">
        <f>IFERROR(__xludf.DUMMYFUNCTION("""COMPUTED_VALUE"""),"Educator Experience")</f>
        <v>Educator Experience</v>
      </c>
      <c r="E269" s="46" t="str">
        <f>IFERROR(__xludf.DUMMYFUNCTION("if(or(QuotesCheckJudge="""",and(QuotesCheckJudge = ""primeiro"", QuotesCheckChallengeRecommendation1 &lt;&gt; """")), filter('Quotes-Check'!E269:F269, 'Quotes-Check'!E269:F269&lt;&gt;""glugluieie""),if(and(QuotesCheckJudge = ""segundo"", QuotesCheckChallengeRecommend"&amp;"ation2 &lt;&gt; """"), filter('Quotes-Check'!I269:J269, 'Quotes-Check'!I269:J269&lt;&gt;""glugluieie""),""""))"),"recommendation")</f>
        <v>recommendation</v>
      </c>
      <c r="F269" s="22" t="str">
        <f>IFERROR(__xludf.DUMMYFUNCTION("""COMPUTED_VALUE""")," I like to make them feel a little bit of pain before I give them the solution. So I will have them to run their test cases")</f>
        <v> I like to make them feel a little bit of pain before I give them the solution. So I will have them to run their test cases</v>
      </c>
      <c r="G269" s="22" t="str">
        <f>if(QuotesCheckJudgeAbstract&lt;&gt;"",QuotesCheckJudgeAbstract,if(or(QuotesCheckJudge="",and(QuotesCheckJudge = "primeiro", QuotesCheckChallengeRecommendation1 &lt;&gt; "")), QuotesCheckAbstract1,if(and(QuotesCheckJudge = "segundo", QuotesCheckChallengeRecommendation2 &lt;&gt; ""), QuotesCheckAbstract2,"")))</f>
        <v>Don't give the solution right away, let them reach it first for themselves.</v>
      </c>
    </row>
    <row r="270">
      <c r="A270" s="22">
        <f>IFERROR(__xludf.DUMMYFUNCTION("if(or(QuotesCheckJudge="""",and(QuotesCheckJudge = ""primeiro"", QuotesCheckChallengeRecommendation1 &lt;&gt; """"),and(QuotesCheckJudge = ""segundo"", QuotesCheckChallengeRecommendation2 &lt;&gt; """")), filter('Quotes-Check'!A270:D270, 'Quotes-Check'!A270:D270&lt;&gt;""g"&amp;"lugluieie""),"""")"),8.0)</f>
        <v>8</v>
      </c>
      <c r="B270" s="22">
        <f>IFERROR(__xludf.DUMMYFUNCTION("""COMPUTED_VALUE"""),3.0)</f>
        <v>3</v>
      </c>
      <c r="C270" s="2" t="str">
        <f>IFERROR(__xludf.DUMMYFUNCTION("""COMPUTED_VALUE"""),"R1 / R3")</f>
        <v>R1 / R3</v>
      </c>
      <c r="D270" s="22" t="str">
        <f>IFERROR(__xludf.DUMMYFUNCTION("""COMPUTED_VALUE"""),"Educator Experience")</f>
        <v>Educator Experience</v>
      </c>
      <c r="E270" s="46" t="str">
        <f>IFERROR(__xludf.DUMMYFUNCTION("if(or(QuotesCheckJudge="""",and(QuotesCheckJudge = ""primeiro"", QuotesCheckChallengeRecommendation1 &lt;&gt; """")), filter('Quotes-Check'!E270:F270, 'Quotes-Check'!E270:F270&lt;&gt;""glugluieie""),if(and(QuotesCheckJudge = ""segundo"", QuotesCheckChallengeRecommend"&amp;"ation2 &lt;&gt; """"), filter('Quotes-Check'!I270:J270, 'Quotes-Check'!I270:J270&lt;&gt;""glugluieie""),""""))"),"recommendation")</f>
        <v>recommendation</v>
      </c>
      <c r="F270" s="22" t="str">
        <f>IFERROR(__xludf.DUMMYFUNCTION("""COMPUTED_VALUE"""),"And then I teach them, CI continuous integration. I show them how to use Travis to automatically run the test cases.")</f>
        <v>And then I teach them, CI continuous integration. I show them how to use Travis to automatically run the test cases.</v>
      </c>
      <c r="G270" s="22" t="str">
        <f>if(QuotesCheckJudgeAbstract&lt;&gt;"",QuotesCheckJudgeAbstract,if(or(QuotesCheckJudge="",and(QuotesCheckJudge = "primeiro", QuotesCheckChallengeRecommendation1 &lt;&gt; "")), QuotesCheckAbstract1,if(and(QuotesCheckJudge = "segundo", QuotesCheckChallengeRecommendation2 &lt;&gt; ""), QuotesCheckAbstract2,"")))</f>
        <v>Teach continuous integration using travis to automatically run the test cases.</v>
      </c>
    </row>
    <row r="271">
      <c r="A271" s="22">
        <f>IFERROR(__xludf.DUMMYFUNCTION("if(or(QuotesCheckJudge="""",and(QuotesCheckJudge = ""primeiro"", QuotesCheckChallengeRecommendation1 &lt;&gt; """"),and(QuotesCheckJudge = ""segundo"", QuotesCheckChallengeRecommendation2 &lt;&gt; """")), filter('Quotes-Check'!A271:D271, 'Quotes-Check'!A271:D271&lt;&gt;""g"&amp;"lugluieie""),"""")"),8.0)</f>
        <v>8</v>
      </c>
      <c r="B271" s="22">
        <f>IFERROR(__xludf.DUMMYFUNCTION("""COMPUTED_VALUE"""),3.0)</f>
        <v>3</v>
      </c>
      <c r="C271" s="2" t="str">
        <f>IFERROR(__xludf.DUMMYFUNCTION("""COMPUTED_VALUE"""),"R1 / R3")</f>
        <v>R1 / R3</v>
      </c>
      <c r="D271" s="22" t="str">
        <f>IFERROR(__xludf.DUMMYFUNCTION("""COMPUTED_VALUE"""),"Educator Experience")</f>
        <v>Educator Experience</v>
      </c>
      <c r="E271" s="46" t="str">
        <f>IFERROR(__xludf.DUMMYFUNCTION("if(or(QuotesCheckJudge="""",and(QuotesCheckJudge = ""primeiro"", QuotesCheckChallengeRecommendation1 &lt;&gt; """")), filter('Quotes-Check'!E271:F271, 'Quotes-Check'!E271:F271&lt;&gt;""glugluieie""),if(and(QuotesCheckJudge = ""segundo"", QuotesCheckChallengeRecommend"&amp;"ation2 &lt;&gt; """"), filter('Quotes-Check'!I271:J271, 'Quotes-Check'!I271:J271&lt;&gt;""glugluieie""),""""))"),"recommendation")</f>
        <v>recommendation</v>
      </c>
      <c r="F271" s="22" t="str">
        <f>IFERROR(__xludf.DUMMYFUNCTION("""COMPUTED_VALUE"""),"I'll have them run their test cases manually. And then when someone makes a pull request, I'm like, well, you need to clone that, run the test case. [...] And then [.. ] I show them how to [...] automatically run the test cases. [...] And so they write al"&amp;"l the test cases. And then, and then I, I teach them about code coverage. I said, it's not about the test passing. If the code coverage go down, then somebody code it without writing a test case, don't merge that pull-request, right? So I'm teaching this "&amp;"whole culture, right? This way of working. [...] Then finally we push it to the cloud. We set up CD pipelines to deploy things in the cloud")</f>
        <v>I'll have them run their test cases manually. And then when someone makes a pull request, I'm like, well, you need to clone that, run the test case. [...] And then [.. ] I show them how to [...] automatically run the test cases. [...] And so they write all the test cases. And then, and then I, I teach them about code coverage. I said, it's not about the test passing. If the code coverage go down, then somebody code it without writing a test case, don't merge that pull-request, right? So I'm teaching this whole culture, right? This way of working. [...] Then finally we push it to the cloud. We set up CD pipelines to deploy things in the cloud</v>
      </c>
      <c r="G271" s="22" t="str">
        <f>if(QuotesCheckJudgeAbstract&lt;&gt;"",QuotesCheckJudgeAbstract,if(or(QuotesCheckJudge="",and(QuotesCheckJudge = "primeiro", QuotesCheckChallengeRecommendation1 &lt;&gt; "")), QuotesCheckAbstract1,if(and(QuotesCheckJudge = "segundo", QuotesCheckChallengeRecommendation2 &lt;&gt; ""), QuotesCheckAbstract2,"")))</f>
        <v>Write some tests cases manually, do pull requests, do test automation with CI, write all test cases, teach code coverage. Then finally setup CD pipeline to deploy the application in the cloud.</v>
      </c>
    </row>
    <row r="272">
      <c r="A272" s="22">
        <f>IFERROR(__xludf.DUMMYFUNCTION("if(or(QuotesCheckJudge="""",and(QuotesCheckJudge = ""primeiro"", QuotesCheckChallengeRecommendation1 &lt;&gt; """"),and(QuotesCheckJudge = ""segundo"", QuotesCheckChallengeRecommendation2 &lt;&gt; """")), filter('Quotes-Check'!A272:D272, 'Quotes-Check'!A272:D272&lt;&gt;""g"&amp;"lugluieie""),"""")"),8.0)</f>
        <v>8</v>
      </c>
      <c r="B272" s="22">
        <f>IFERROR(__xludf.DUMMYFUNCTION("""COMPUTED_VALUE"""),4.0)</f>
        <v>4</v>
      </c>
      <c r="C272" s="2" t="str">
        <f>IFERROR(__xludf.DUMMYFUNCTION("""COMPUTED_VALUE"""),"R1 / R3")</f>
        <v>R1 / R3</v>
      </c>
      <c r="D272" s="22" t="str">
        <f>IFERROR(__xludf.DUMMYFUNCTION("""COMPUTED_VALUE"""),"Educator Experience")</f>
        <v>Educator Experience</v>
      </c>
      <c r="E272" s="46" t="str">
        <f>IFERROR(__xludf.DUMMYFUNCTION("if(or(QuotesCheckJudge="""",and(QuotesCheckJudge = ""primeiro"", QuotesCheckChallengeRecommendation1 &lt;&gt; """")), filter('Quotes-Check'!E272:F272, 'Quotes-Check'!E272:F272&lt;&gt;""glugluieie""),if(and(QuotesCheckJudge = ""segundo"", QuotesCheckChallengeRecommend"&amp;"ation2 &lt;&gt; """"), filter('Quotes-Check'!I272:J272, 'Quotes-Check'!I272:J272&lt;&gt;""glugluieie""),""""))"),"recommendation")</f>
        <v>recommendation</v>
      </c>
      <c r="F272" s="22" t="str">
        <f>IFERROR(__xludf.DUMMYFUNCTION("""COMPUTED_VALUE"""),"so I try to force them into these situations that really drive home the message of how to work as a DevOps team, how to work agile, but you've got to live it.")</f>
        <v>so I try to force them into these situations that really drive home the message of how to work as a DevOps team, how to work agile, but you've got to live it.</v>
      </c>
      <c r="G272" s="22" t="str">
        <f>if(QuotesCheckJudgeAbstract&lt;&gt;"",QuotesCheckJudgeAbstract,if(or(QuotesCheckJudge="",and(QuotesCheckJudge = "primeiro", QuotesCheckChallengeRecommendation1 &lt;&gt; "")), QuotesCheckAbstract1,if(and(QuotesCheckJudge = "segundo", QuotesCheckChallengeRecommendation2 &lt;&gt; ""), QuotesCheckAbstract2,"")))</f>
        <v>Make students experiment situations where they can learn how to work as a DevOps team, how to work agile.</v>
      </c>
    </row>
    <row r="273">
      <c r="A273" s="22">
        <f>IFERROR(__xludf.DUMMYFUNCTION("if(or(QuotesCheckJudge="""",and(QuotesCheckJudge = ""primeiro"", QuotesCheckChallengeRecommendation1 &lt;&gt; """"),and(QuotesCheckJudge = ""segundo"", QuotesCheckChallengeRecommendation2 &lt;&gt; """")), filter('Quotes-Check'!A273:D273, 'Quotes-Check'!A273:D273&lt;&gt;""g"&amp;"lugluieie""),"""")"),8.0)</f>
        <v>8</v>
      </c>
      <c r="B273" s="22">
        <f>IFERROR(__xludf.DUMMYFUNCTION("""COMPUTED_VALUE"""),4.0)</f>
        <v>4</v>
      </c>
      <c r="C273" s="2" t="str">
        <f>IFERROR(__xludf.DUMMYFUNCTION("""COMPUTED_VALUE"""),"R1 / R3")</f>
        <v>R1 / R3</v>
      </c>
      <c r="D273" s="22" t="str">
        <f>IFERROR(__xludf.DUMMYFUNCTION("""COMPUTED_VALUE"""),"Educator Experience")</f>
        <v>Educator Experience</v>
      </c>
      <c r="E273" s="46" t="str">
        <f>IFERROR(__xludf.DUMMYFUNCTION("if(or(QuotesCheckJudge="""",and(QuotesCheckJudge = ""primeiro"", QuotesCheckChallengeRecommendation1 &lt;&gt; """")), filter('Quotes-Check'!E273:F273, 'Quotes-Check'!E273:F273&lt;&gt;""glugluieie""),if(and(QuotesCheckJudge = ""segundo"", QuotesCheckChallengeRecommend"&amp;"ation2 &lt;&gt; """"), filter('Quotes-Check'!I273:J273, 'Quotes-Check'!I273:J273&lt;&gt;""glugluieie""),""""))"),"recommendation")</f>
        <v>recommendation</v>
      </c>
      <c r="F273" s="22" t="str">
        <f>IFERROR(__xludf.DUMMYFUNCTION("""COMPUTED_VALUE"""),"whenever they have a problem they can come to me. And I tell them, don't spend too much time Googling stuff. If you don't understand something, ask me if, if you don't understand what I presented, then I didn't present it in a way that you could connect w"&amp;"ith it. [...] Everybody learns differently. ")</f>
        <v>whenever they have a problem they can come to me. And I tell them, don't spend too much time Googling stuff. If you don't understand something, ask me if, if you don't understand what I presented, then I didn't present it in a way that you could connect with it. [...] Everybody learns differently. </v>
      </c>
      <c r="G273" s="22" t="str">
        <f>if(QuotesCheckJudgeAbstract&lt;&gt;"",QuotesCheckJudgeAbstract,if(or(QuotesCheckJudge="",and(QuotesCheckJudge = "primeiro", QuotesCheckChallengeRecommendation1 &lt;&gt; "")), QuotesCheckAbstract1,if(and(QuotesCheckJudge = "segundo", QuotesCheckChallengeRecommendation2 &lt;&gt; ""), QuotesCheckAbstract2,"")))</f>
        <v>Incentive professor-students interaction, easing fast solving questions.</v>
      </c>
    </row>
    <row r="274">
      <c r="A274" s="22">
        <f>IFERROR(__xludf.DUMMYFUNCTION("if(or(QuotesCheckJudge="""",and(QuotesCheckJudge = ""primeiro"", QuotesCheckChallengeRecommendation1 &lt;&gt; """"),and(QuotesCheckJudge = ""segundo"", QuotesCheckChallengeRecommendation2 &lt;&gt; """")), filter('Quotes-Check'!A274:D274, 'Quotes-Check'!A274:D274&lt;&gt;""g"&amp;"lugluieie""),"""")"),8.0)</f>
        <v>8</v>
      </c>
      <c r="B274" s="22">
        <f>IFERROR(__xludf.DUMMYFUNCTION("""COMPUTED_VALUE"""),4.0)</f>
        <v>4</v>
      </c>
      <c r="C274" s="2" t="str">
        <f>IFERROR(__xludf.DUMMYFUNCTION("""COMPUTED_VALUE"""),"R1 / R3")</f>
        <v>R1 / R3</v>
      </c>
      <c r="D274" s="22" t="str">
        <f>IFERROR(__xludf.DUMMYFUNCTION("""COMPUTED_VALUE"""),"Educator Experience")</f>
        <v>Educator Experience</v>
      </c>
      <c r="E274" s="46" t="str">
        <f>IFERROR(__xludf.DUMMYFUNCTION("if(or(QuotesCheckJudge="""",and(QuotesCheckJudge = ""primeiro"", QuotesCheckChallengeRecommendation1 &lt;&gt; """")), filter('Quotes-Check'!E274:F274, 'Quotes-Check'!E274:F274&lt;&gt;""glugluieie""),if(and(QuotesCheckJudge = ""segundo"", QuotesCheckChallengeRecommend"&amp;"ation2 &lt;&gt; """"), filter('Quotes-Check'!I274:J274, 'Quotes-Check'!I274:J274&lt;&gt;""glugluieie""),""""))"),"recommendation")</f>
        <v>recommendation</v>
      </c>
      <c r="F274" s="22" t="str">
        <f>IFERROR(__xludf.DUMMYFUNCTION("""COMPUTED_VALUE"""),"So I let them know that if you asked me the same question a second time, I promise I won't answer it the same way. I'll try to find some different way to make that connection with you. Right? So that you understand it, given the background that you have. "&amp;"Given the skills that you have. Uh, so again, I try to immerse them in this culture. ")</f>
        <v>So I let them know that if you asked me the same question a second time, I promise I won't answer it the same way. I'll try to find some different way to make that connection with you. Right? So that you understand it, given the background that you have. Given the skills that you have. Uh, so again, I try to immerse them in this culture. </v>
      </c>
      <c r="G274" s="22" t="str">
        <f>if(QuotesCheckJudgeAbstract&lt;&gt;"",QuotesCheckJudgeAbstract,if(or(QuotesCheckJudge="",and(QuotesCheckJudge = "primeiro", QuotesCheckChallengeRecommendation1 &lt;&gt; "")), QuotesCheckAbstract1,if(and(QuotesCheckJudge = "segundo", QuotesCheckChallengeRecommendation2 &lt;&gt; ""), QuotesCheckAbstract2,"")))</f>
        <v>Teaching customized based on students background.</v>
      </c>
    </row>
    <row r="275">
      <c r="A275" s="22">
        <f>IFERROR(__xludf.DUMMYFUNCTION("if(or(QuotesCheckJudge="""",and(QuotesCheckJudge = ""primeiro"", QuotesCheckChallengeRecommendation1 &lt;&gt; """"),and(QuotesCheckJudge = ""segundo"", QuotesCheckChallengeRecommendation2 &lt;&gt; """")), filter('Quotes-Check'!A275:D275, 'Quotes-Check'!A275:D275&lt;&gt;""g"&amp;"lugluieie""),"""")"),8.0)</f>
        <v>8</v>
      </c>
      <c r="B275" s="22">
        <f>IFERROR(__xludf.DUMMYFUNCTION("""COMPUTED_VALUE"""),4.0)</f>
        <v>4</v>
      </c>
      <c r="C275" s="2" t="str">
        <f>IFERROR(__xludf.DUMMYFUNCTION("""COMPUTED_VALUE"""),"R1 / R3")</f>
        <v>R1 / R3</v>
      </c>
      <c r="D275" s="22" t="str">
        <f>IFERROR(__xludf.DUMMYFUNCTION("""COMPUTED_VALUE"""),"Educator Experience")</f>
        <v>Educator Experience</v>
      </c>
      <c r="E275" s="46" t="str">
        <f>IFERROR(__xludf.DUMMYFUNCTION("if(or(QuotesCheckJudge="""",and(QuotesCheckJudge = ""primeiro"", QuotesCheckChallengeRecommendation1 &lt;&gt; """")), filter('Quotes-Check'!E275:F275, 'Quotes-Check'!E275:F275&lt;&gt;""glugluieie""),if(and(QuotesCheckJudge = ""segundo"", QuotesCheckChallengeRecommend"&amp;"ation2 &lt;&gt; """"), filter('Quotes-Check'!I275:J275, 'Quotes-Check'!I275:J275&lt;&gt;""glugluieie""),""""))"),"recommendation")</f>
        <v>recommendation</v>
      </c>
      <c r="F275" s="22" t="str">
        <f>IFERROR(__xludf.DUMMYFUNCTION("""COMPUTED_VALUE""")," you have to learn by doing ")</f>
        <v> you have to learn by doing </v>
      </c>
      <c r="G275" s="22" t="str">
        <f>if(QuotesCheckJudgeAbstract&lt;&gt;"",QuotesCheckJudgeAbstract,if(or(QuotesCheckJudge="",and(QuotesCheckJudge = "primeiro", QuotesCheckChallengeRecommendation1 &lt;&gt; "")), QuotesCheckAbstract1,if(and(QuotesCheckJudge = "segundo", QuotesCheckChallengeRecommendation2 &lt;&gt; ""), QuotesCheckAbstract2,"")))</f>
        <v>It is necessary to practice DevOps knowledge.</v>
      </c>
    </row>
    <row r="276">
      <c r="A276" s="22">
        <f>IFERROR(__xludf.DUMMYFUNCTION("if(or(QuotesCheckJudge="""",and(QuotesCheckJudge = ""primeiro"", QuotesCheckChallengeRecommendation1 &lt;&gt; """"),and(QuotesCheckJudge = ""segundo"", QuotesCheckChallengeRecommendation2 &lt;&gt; """")), filter('Quotes-Check'!A276:D276, 'Quotes-Check'!A276:D276&lt;&gt;""g"&amp;"lugluieie""),"""")"),8.0)</f>
        <v>8</v>
      </c>
      <c r="B276" s="22">
        <f>IFERROR(__xludf.DUMMYFUNCTION("""COMPUTED_VALUE"""),4.0)</f>
        <v>4</v>
      </c>
      <c r="C276" s="2" t="str">
        <f>IFERROR(__xludf.DUMMYFUNCTION("""COMPUTED_VALUE"""),"R1 / R3")</f>
        <v>R1 / R3</v>
      </c>
      <c r="D276" s="22" t="str">
        <f>IFERROR(__xludf.DUMMYFUNCTION("""COMPUTED_VALUE"""),"Educator Experience")</f>
        <v>Educator Experience</v>
      </c>
      <c r="E276" s="46" t="str">
        <f>IFERROR(__xludf.DUMMYFUNCTION("if(or(QuotesCheckJudge="""",and(QuotesCheckJudge = ""primeiro"", QuotesCheckChallengeRecommendation1 &lt;&gt; """")), filter('Quotes-Check'!E276:F276, 'Quotes-Check'!E276:F276&lt;&gt;""glugluieie""),if(and(QuotesCheckJudge = ""segundo"", QuotesCheckChallengeRecommend"&amp;"ation2 &lt;&gt; """"), filter('Quotes-Check'!I276:J276, 'Quotes-Check'!I276:J276&lt;&gt;""glugluieie""),""""))"),"recommendation")</f>
        <v>recommendation</v>
      </c>
      <c r="F276" s="22" t="str">
        <f>IFERROR(__xludf.DUMMYFUNCTION("""COMPUTED_VALUE"""),"You can't learn the DevOps culture from a book.")</f>
        <v>You can't learn the DevOps culture from a book.</v>
      </c>
      <c r="G276" s="22" t="str">
        <f>if(QuotesCheckJudgeAbstract&lt;&gt;"",QuotesCheckJudgeAbstract,if(or(QuotesCheckJudge="",and(QuotesCheckJudge = "primeiro", QuotesCheckChallengeRecommendation1 &lt;&gt; "")), QuotesCheckAbstract1,if(and(QuotesCheckJudge = "segundo", QuotesCheckChallengeRecommendation2 &lt;&gt; ""), QuotesCheckAbstract2,"")))</f>
        <v>You can't learn the DevOps culture from a book.</v>
      </c>
    </row>
    <row r="277">
      <c r="A277" s="22">
        <f>IFERROR(__xludf.DUMMYFUNCTION("if(or(QuotesCheckJudge="""",and(QuotesCheckJudge = ""primeiro"", QuotesCheckChallengeRecommendation1 &lt;&gt; """"),and(QuotesCheckJudge = ""segundo"", QuotesCheckChallengeRecommendation2 &lt;&gt; """")), filter('Quotes-Check'!A277:D277, 'Quotes-Check'!A277:D277&lt;&gt;""g"&amp;"lugluieie""),"""")"),8.0)</f>
        <v>8</v>
      </c>
      <c r="B277" s="22">
        <f>IFERROR(__xludf.DUMMYFUNCTION("""COMPUTED_VALUE"""),4.0)</f>
        <v>4</v>
      </c>
      <c r="C277" s="2" t="str">
        <f>IFERROR(__xludf.DUMMYFUNCTION("""COMPUTED_VALUE"""),"R1 / R3")</f>
        <v>R1 / R3</v>
      </c>
      <c r="D277" s="22" t="str">
        <f>IFERROR(__xludf.DUMMYFUNCTION("""COMPUTED_VALUE"""),"Educator Experience")</f>
        <v>Educator Experience</v>
      </c>
      <c r="E277" s="46" t="str">
        <f>IFERROR(__xludf.DUMMYFUNCTION("if(or(QuotesCheckJudge="""",and(QuotesCheckJudge = ""primeiro"", QuotesCheckChallengeRecommendation1 &lt;&gt; """")), filter('Quotes-Check'!E277:F277, 'Quotes-Check'!E277:F277&lt;&gt;""glugluieie""),if(and(QuotesCheckJudge = ""segundo"", QuotesCheckChallengeRecommend"&amp;"ation2 &lt;&gt; """"), filter('Quotes-Check'!I277:J277, 'Quotes-Check'!I277:J277&lt;&gt;""glugluieie""),""""))"),"recommendation")</f>
        <v>recommendation</v>
      </c>
      <c r="F277" s="22" t="str">
        <f>IFERROR(__xludf.DUMMYFUNCTION("""COMPUTED_VALUE"""),"my classes are about an hour lecture. And then the other hour and a half is lab it's hands-on, you know, I give them a concept, let's go do it. And by doing it, that's where it really sticks.")</f>
        <v>my classes are about an hour lecture. And then the other hour and a half is lab it's hands-on, you know, I give them a concept, let's go do it. And by doing it, that's where it really sticks.</v>
      </c>
      <c r="G277" s="22" t="str">
        <f>if(QuotesCheckJudgeAbstract&lt;&gt;"",QuotesCheckJudgeAbstract,if(or(QuotesCheckJudge="",and(QuotesCheckJudge = "primeiro", QuotesCheckChallengeRecommendation1 &lt;&gt; "")), QuotesCheckAbstract1,if(and(QuotesCheckJudge = "segundo", QuotesCheckChallengeRecommendation2 &lt;&gt; ""), QuotesCheckAbstract2,"")))</f>
        <v>Teach each DevOps concept using one hour lecture followed by one hour and a half lab hands-on.</v>
      </c>
    </row>
    <row r="278">
      <c r="A278" s="22">
        <f>IFERROR(__xludf.DUMMYFUNCTION("if(or(QuotesCheckJudge="""",and(QuotesCheckJudge = ""primeiro"", QuotesCheckChallengeRecommendation1 &lt;&gt; """"),and(QuotesCheckJudge = ""segundo"", QuotesCheckChallengeRecommendation2 &lt;&gt; """")), filter('Quotes-Check'!A278:D278, 'Quotes-Check'!A278:D278&lt;&gt;""g"&amp;"lugluieie""),"""")"),8.0)</f>
        <v>8</v>
      </c>
      <c r="B278" s="22">
        <f>IFERROR(__xludf.DUMMYFUNCTION("""COMPUTED_VALUE"""),6.0)</f>
        <v>6</v>
      </c>
      <c r="C278" s="2" t="str">
        <f>IFERROR(__xludf.DUMMYFUNCTION("""COMPUTED_VALUE"""),"R1 / R2")</f>
        <v>R1 / R2</v>
      </c>
      <c r="D278" s="22" t="str">
        <f>IFERROR(__xludf.DUMMYFUNCTION("""COMPUTED_VALUE"""),"Educator Experience")</f>
        <v>Educator Experience</v>
      </c>
      <c r="E278" s="46" t="str">
        <f>IFERROR(__xludf.DUMMYFUNCTION("if(or(QuotesCheckJudge="""",and(QuotesCheckJudge = ""primeiro"", QuotesCheckChallengeRecommendation1 &lt;&gt; """")), filter('Quotes-Check'!E278:F278, 'Quotes-Check'!E278:F278&lt;&gt;""glugluieie""),if(and(QuotesCheckJudge = ""segundo"", QuotesCheckChallengeRecommend"&amp;"ation2 &lt;&gt; """"), filter('Quotes-Check'!I278:J278, 'Quotes-Check'!I278:J278&lt;&gt;""glugluieie""),""""))"),"recommendation")</f>
        <v>recommendation</v>
      </c>
      <c r="F278" s="22" t="str">
        <f>IFERROR(__xludf.DUMMYFUNCTION("""COMPUTED_VALUE""")," So sometimes a student will say to me: ""professor, what do I do if another student is like not pulling their weight on the team?"", And I say: ""when you go to a job interview, you're going to be asked the question, tell me about a time when a member of"&amp;" your team wasn't pulling their weight. And what did you do to get them excited and to contribute again, today's the day to go write that story. Today's the data to write the answer to that question"".")</f>
        <v> So sometimes a student will say to me: "professor, what do I do if another student is like not pulling their weight on the team?", And I say: "when you go to a job interview, you're going to be asked the question, tell me about a time when a member of your team wasn't pulling their weight. And what did you do to get them excited and to contribute again, today's the day to go write that story. Today's the data to write the answer to that question".</v>
      </c>
      <c r="G278" s="22" t="str">
        <f>if(QuotesCheckJudgeAbstract&lt;&gt;"",QuotesCheckJudgeAbstract,if(or(QuotesCheckJudge="",and(QuotesCheckJudge = "primeiro", QuotesCheckChallengeRecommendation1 &lt;&gt; "")), QuotesCheckAbstract1,if(and(QuotesCheckJudge = "segundo", QuotesCheckChallengeRecommendation2 &lt;&gt; ""), QuotesCheckAbstract2,"")))</f>
        <v>Make the group motivation a responsibility of themselves, students should motivate each other.</v>
      </c>
    </row>
    <row r="279">
      <c r="A279" s="22">
        <f>IFERROR(__xludf.DUMMYFUNCTION("if(or(QuotesCheckJudge="""",and(QuotesCheckJudge = ""primeiro"", QuotesCheckChallengeRecommendation1 &lt;&gt; """"),and(QuotesCheckJudge = ""segundo"", QuotesCheckChallengeRecommendation2 &lt;&gt; """")), filter('Quotes-Check'!A279:D279, 'Quotes-Check'!A279:D279&lt;&gt;""g"&amp;"lugluieie""),"""")"),8.0)</f>
        <v>8</v>
      </c>
      <c r="B279" s="22">
        <f>IFERROR(__xludf.DUMMYFUNCTION("""COMPUTED_VALUE"""),6.0)</f>
        <v>6</v>
      </c>
      <c r="C279" s="2" t="str">
        <f>IFERROR(__xludf.DUMMYFUNCTION("""COMPUTED_VALUE"""),"R1 / R2")</f>
        <v>R1 / R2</v>
      </c>
      <c r="D279" s="22" t="str">
        <f>IFERROR(__xludf.DUMMYFUNCTION("""COMPUTED_VALUE"""),"Educator Experience")</f>
        <v>Educator Experience</v>
      </c>
      <c r="E279" s="46" t="str">
        <f>IFERROR(__xludf.DUMMYFUNCTION("if(or(QuotesCheckJudge="""",and(QuotesCheckJudge = ""primeiro"", QuotesCheckChallengeRecommendation1 &lt;&gt; """")), filter('Quotes-Check'!E279:F279, 'Quotes-Check'!E279:F279&lt;&gt;""glugluieie""),if(and(QuotesCheckJudge = ""segundo"", QuotesCheckChallengeRecommend"&amp;"ation2 &lt;&gt; """"), filter('Quotes-Check'!I279:J279, 'Quotes-Check'!I279:J279&lt;&gt;""glugluieie""),""""))"),"recommendation")</f>
        <v>recommendation</v>
      </c>
      <c r="F279" s="22" t="str">
        <f>IFERROR(__xludf.DUMMYFUNCTION("""COMPUTED_VALUE"""),"You need to sit together and experience because if you can't work as a team, you're not gonna make it right out in industry because we want team players. I don't want heroes. I don't want people who saved the day. I want people who mentor each other.")</f>
        <v>You need to sit together and experience because if you can't work as a team, you're not gonna make it right out in industry because we want team players. I don't want heroes. I don't want people who saved the day. I want people who mentor each other.</v>
      </c>
      <c r="G279" s="22" t="str">
        <f>if(QuotesCheckJudgeAbstract&lt;&gt;"",QuotesCheckJudgeAbstract,if(or(QuotesCheckJudge="",and(QuotesCheckJudge = "primeiro", QuotesCheckChallengeRecommendation1 &lt;&gt; "")), QuotesCheckAbstract1,if(and(QuotesCheckJudge = "segundo", QuotesCheckChallengeRecommendation2 &lt;&gt; ""), QuotesCheckAbstract2,"")))</f>
        <v>Teaching how to students mentor each other is one of the most important things and must be a priority.</v>
      </c>
    </row>
    <row r="280">
      <c r="A280" s="22">
        <f>IFERROR(__xludf.DUMMYFUNCTION("if(or(QuotesCheckJudge="""",and(QuotesCheckJudge = ""primeiro"", QuotesCheckChallengeRecommendation1 &lt;&gt; """"),and(QuotesCheckJudge = ""segundo"", QuotesCheckChallengeRecommendation2 &lt;&gt; """")), filter('Quotes-Check'!A280:D280, 'Quotes-Check'!A280:D280&lt;&gt;""g"&amp;"lugluieie""),"""")"),8.0)</f>
        <v>8</v>
      </c>
      <c r="B280" s="22">
        <f>IFERROR(__xludf.DUMMYFUNCTION("""COMPUTED_VALUE"""),6.0)</f>
        <v>6</v>
      </c>
      <c r="C280" s="2" t="str">
        <f>IFERROR(__xludf.DUMMYFUNCTION("""COMPUTED_VALUE"""),"R1 / R2")</f>
        <v>R1 / R2</v>
      </c>
      <c r="D280" s="22" t="str">
        <f>IFERROR(__xludf.DUMMYFUNCTION("""COMPUTED_VALUE"""),"Educator Experience")</f>
        <v>Educator Experience</v>
      </c>
      <c r="E280" s="46" t="str">
        <f>IFERROR(__xludf.DUMMYFUNCTION("if(or(QuotesCheckJudge="""",and(QuotesCheckJudge = ""primeiro"", QuotesCheckChallengeRecommendation1 &lt;&gt; """")), filter('Quotes-Check'!E280:F280, 'Quotes-Check'!E280:F280&lt;&gt;""glugluieie""),if(and(QuotesCheckJudge = ""segundo"", QuotesCheckChallengeRecommend"&amp;"ation2 &lt;&gt; """"), filter('Quotes-Check'!I280:J280, 'Quotes-Check'!I280:J280&lt;&gt;""glugluieie""),""""))"),"recommendation")</f>
        <v>recommendation</v>
      </c>
      <c r="F280" s="22" t="str">
        <f>IFERROR(__xludf.DUMMYFUNCTION("""COMPUTED_VALUE""")," working as an agile team and using the DevOps tools, but most importantly, living the DevOps culture")</f>
        <v> working as an agile team and using the DevOps tools, but most importantly, living the DevOps culture</v>
      </c>
      <c r="G280" s="22" t="str">
        <f>if(QuotesCheckJudgeAbstract&lt;&gt;"",QuotesCheckJudgeAbstract,if(or(QuotesCheckJudge="",and(QuotesCheckJudge = "primeiro", QuotesCheckChallengeRecommendation1 &lt;&gt; "")), QuotesCheckAbstract1,if(and(QuotesCheckJudge = "segundo", QuotesCheckChallengeRecommendation2 &lt;&gt; ""), QuotesCheckAbstract2,"")))</f>
        <v>Living DevOps culture is most important than just learning DevOps tools.</v>
      </c>
    </row>
    <row r="281">
      <c r="A281" s="22">
        <f>IFERROR(__xludf.DUMMYFUNCTION("if(or(QuotesCheckJudge="""",and(QuotesCheckJudge = ""primeiro"", QuotesCheckChallengeRecommendation1 &lt;&gt; """"),and(QuotesCheckJudge = ""segundo"", QuotesCheckChallengeRecommendation2 &lt;&gt; """")), filter('Quotes-Check'!A281:D281, 'Quotes-Check'!A281:D281&lt;&gt;""g"&amp;"lugluieie""),"""")"),8.0)</f>
        <v>8</v>
      </c>
      <c r="B281" s="22">
        <f>IFERROR(__xludf.DUMMYFUNCTION("""COMPUTED_VALUE"""),7.0)</f>
        <v>7</v>
      </c>
      <c r="C281" s="2" t="str">
        <f>IFERROR(__xludf.DUMMYFUNCTION("""COMPUTED_VALUE"""),"R2 / R3")</f>
        <v>R2 / R3</v>
      </c>
      <c r="D281" s="22" t="str">
        <f>IFERROR(__xludf.DUMMYFUNCTION("""COMPUTED_VALUE"""),"General Challenges and Recommendations")</f>
        <v>General Challenges and Recommendations</v>
      </c>
      <c r="E281" s="46" t="str">
        <f>IFERROR(__xludf.DUMMYFUNCTION("if(or(QuotesCheckJudge="""",and(QuotesCheckJudge = ""primeiro"", QuotesCheckChallengeRecommendation1 &lt;&gt; """")), filter('Quotes-Check'!E281:F281, 'Quotes-Check'!E281:F281&lt;&gt;""glugluieie""),if(and(QuotesCheckJudge = ""segundo"", QuotesCheckChallengeRecommend"&amp;"ation2 &lt;&gt; """"), filter('Quotes-Check'!I281:J281, 'Quotes-Check'!I281:J281&lt;&gt;""glugluieie""),""""))"),"challenge")</f>
        <v>challenge</v>
      </c>
      <c r="F281" s="22" t="str">
        <f>IFERROR(__xludf.DUMMYFUNCTION("""COMPUTED_VALUE"""),"one of the challenges is how do you teach people from these different backgrounds [...]  there is so much technology that comes together in DevOps, that the challenge is how do you get everyone up to speed on an even right? So that we can all move forward"&amp;" together and learn together. So, so that's a big challenge.")</f>
        <v>one of the challenges is how do you teach people from these different backgrounds [...]  there is so much technology that comes together in DevOps, that the challenge is how do you get everyone up to speed on an even right? So that we can all move forward together and learn together. So, so that's a big challenge.</v>
      </c>
      <c r="G281" s="22" t="str">
        <f>if(QuotesCheckJudgeAbstract&lt;&gt;"",QuotesCheckJudgeAbstract,if(or(QuotesCheckJudge="",and(QuotesCheckJudge = "primeiro", QuotesCheckChallengeRecommendation1 &lt;&gt; "")), QuotesCheckAbstract1,if(and(QuotesCheckJudge = "segundo", QuotesCheckChallengeRecommendation2 &lt;&gt; ""), QuotesCheckAbstract2,"")))</f>
        <v>It's hard to teach people with different backgrounds.</v>
      </c>
    </row>
    <row r="282">
      <c r="A282" s="22">
        <f>IFERROR(__xludf.DUMMYFUNCTION("if(or(QuotesCheckJudge="""",and(QuotesCheckJudge = ""primeiro"", QuotesCheckChallengeRecommendation1 &lt;&gt; """"),and(QuotesCheckJudge = ""segundo"", QuotesCheckChallengeRecommendation2 &lt;&gt; """")), filter('Quotes-Check'!A282:D282, 'Quotes-Check'!A282:D282&lt;&gt;""g"&amp;"lugluieie""),"""")"),8.0)</f>
        <v>8</v>
      </c>
      <c r="B282" s="22">
        <f>IFERROR(__xludf.DUMMYFUNCTION("""COMPUTED_VALUE"""),7.0)</f>
        <v>7</v>
      </c>
      <c r="C282" s="2" t="str">
        <f>IFERROR(__xludf.DUMMYFUNCTION("""COMPUTED_VALUE"""),"R1 / R3")</f>
        <v>R1 / R3</v>
      </c>
      <c r="D282" s="22" t="str">
        <f>IFERROR(__xludf.DUMMYFUNCTION("""COMPUTED_VALUE"""),"General Challenges and Recommendations")</f>
        <v>General Challenges and Recommendations</v>
      </c>
      <c r="E282" s="46" t="str">
        <f>IFERROR(__xludf.DUMMYFUNCTION("if(or(QuotesCheckJudge="""",and(QuotesCheckJudge = ""primeiro"", QuotesCheckChallengeRecommendation1 &lt;&gt; """")), filter('Quotes-Check'!E282:F282, 'Quotes-Check'!E282:F282&lt;&gt;""glugluieie""),if(and(QuotesCheckJudge = ""segundo"", QuotesCheckChallengeRecommend"&amp;"ation2 &lt;&gt; """"), filter('Quotes-Check'!I282:J282, 'Quotes-Check'!I282:J282&lt;&gt;""glugluieie""),""""))"),"challenge")</f>
        <v>challenge</v>
      </c>
      <c r="F282" s="22" t="str">
        <f>IFERROR(__xludf.DUMMYFUNCTION("""COMPUTED_VALUE"""),"Some people take a network course they know when IP addresses. Some people don't know what an IP address is.")</f>
        <v>Some people take a network course they know when IP addresses. Some people don't know what an IP address is.</v>
      </c>
      <c r="G282" s="22" t="str">
        <f>if(QuotesCheckJudgeAbstract&lt;&gt;"",QuotesCheckJudgeAbstract,if(or(QuotesCheckJudge="",and(QuotesCheckJudge = "primeiro", QuotesCheckChallengeRecommendation1 &lt;&gt; "")), QuotesCheckAbstract1,if(and(QuotesCheckJudge = "segundo", QuotesCheckChallengeRecommendation2 &lt;&gt; ""), QuotesCheckAbstract2,"")))</f>
        <v>Some students don't know network concepts.</v>
      </c>
    </row>
    <row r="283">
      <c r="A283" s="22">
        <f>IFERROR(__xludf.DUMMYFUNCTION("if(or(QuotesCheckJudge="""",and(QuotesCheckJudge = ""primeiro"", QuotesCheckChallengeRecommendation1 &lt;&gt; """"),and(QuotesCheckJudge = ""segundo"", QuotesCheckChallengeRecommendation2 &lt;&gt; """")), filter('Quotes-Check'!A283:D283, 'Quotes-Check'!A283:D283&lt;&gt;""g"&amp;"lugluieie""),"""")"),8.0)</f>
        <v>8</v>
      </c>
      <c r="B283" s="22">
        <f>IFERROR(__xludf.DUMMYFUNCTION("""COMPUTED_VALUE"""),7.0)</f>
        <v>7</v>
      </c>
      <c r="C283" s="2" t="str">
        <f>IFERROR(__xludf.DUMMYFUNCTION("""COMPUTED_VALUE"""),"R2 / R3")</f>
        <v>R2 / R3</v>
      </c>
      <c r="D283" s="22" t="str">
        <f>IFERROR(__xludf.DUMMYFUNCTION("""COMPUTED_VALUE"""),"General Challenges and Recommendations")</f>
        <v>General Challenges and Recommendations</v>
      </c>
      <c r="E283" s="46" t="str">
        <f>IFERROR(__xludf.DUMMYFUNCTION("if(or(QuotesCheckJudge="""",and(QuotesCheckJudge = ""primeiro"", QuotesCheckChallengeRecommendation1 &lt;&gt; """")), filter('Quotes-Check'!E283:F283, 'Quotes-Check'!E283:F283&lt;&gt;""glugluieie""),if(and(QuotesCheckJudge = ""segundo"", QuotesCheckChallengeRecommend"&amp;"ation2 &lt;&gt; """"), filter('Quotes-Check'!I283:J283, 'Quotes-Check'!I283:J283&lt;&gt;""glugluieie""),""""))"),"recommendation")</f>
        <v>recommendation</v>
      </c>
      <c r="F283" s="22" t="str">
        <f>IFERROR(__xludf.DUMMYFUNCTION("""COMPUTED_VALUE"""),"Do they understand what the cloud is? It'd be great if there was a cloud course before mine, but there isn't.")</f>
        <v>Do they understand what the cloud is? It'd be great if there was a cloud course before mine, but there isn't.</v>
      </c>
      <c r="G283" s="22" t="str">
        <f>if(QuotesCheckJudgeAbstract&lt;&gt;"",QuotesCheckJudgeAbstract,if(or(QuotesCheckJudge="",and(QuotesCheckJudge = "primeiro", QuotesCheckChallengeRecommendation1 &lt;&gt; "")), QuotesCheckAbstract1,if(and(QuotesCheckJudge = "segundo", QuotesCheckChallengeRecommendation2 &lt;&gt; ""), QuotesCheckAbstract2,"")))</f>
        <v>It'd be great if there was a Cloud course before DevOps course.</v>
      </c>
    </row>
    <row r="284">
      <c r="A284" s="22">
        <f>IFERROR(__xludf.DUMMYFUNCTION("if(or(QuotesCheckJudge="""",and(QuotesCheckJudge = ""primeiro"", QuotesCheckChallengeRecommendation1 &lt;&gt; """"),and(QuotesCheckJudge = ""segundo"", QuotesCheckChallengeRecommendation2 &lt;&gt; """")), filter('Quotes-Check'!A284:D284, 'Quotes-Check'!A284:D284&lt;&gt;""g"&amp;"lugluieie""),"""")"),8.0)</f>
        <v>8</v>
      </c>
      <c r="B284" s="22">
        <f>IFERROR(__xludf.DUMMYFUNCTION("""COMPUTED_VALUE"""),7.0)</f>
        <v>7</v>
      </c>
      <c r="C284" s="2" t="str">
        <f>IFERROR(__xludf.DUMMYFUNCTION("""COMPUTED_VALUE"""),"R2 / R3")</f>
        <v>R2 / R3</v>
      </c>
      <c r="D284" s="22" t="str">
        <f>IFERROR(__xludf.DUMMYFUNCTION("""COMPUTED_VALUE"""),"General Challenges and Recommendations")</f>
        <v>General Challenges and Recommendations</v>
      </c>
      <c r="E284" s="46" t="str">
        <f>IFERROR(__xludf.DUMMYFUNCTION("if(or(QuotesCheckJudge="""",and(QuotesCheckJudge = ""primeiro"", QuotesCheckChallengeRecommendation1 &lt;&gt; """")), filter('Quotes-Check'!E284:F284, 'Quotes-Check'!E284:F284&lt;&gt;""glugluieie""),if(and(QuotesCheckJudge = ""segundo"", QuotesCheckChallengeRecommend"&amp;"ation2 &lt;&gt; """"), filter('Quotes-Check'!I284:J284, 'Quotes-Check'!I284:J284&lt;&gt;""glugluieie""),""""))"),"challenge")</f>
        <v>challenge</v>
      </c>
      <c r="F284" s="22" t="str">
        <f>IFERROR(__xludf.DUMMYFUNCTION("""COMPUTED_VALUE"""),"The other big challenge is: technology. People come with Macs, people come with windows, people come with Linux. [...] So that's the other challenge is people coming in with different technology and then how do you teach them the same thing without saying"&amp;": ""oh, the command in windows is this and the command on a Mac is that""")</f>
        <v>The other big challenge is: technology. People come with Macs, people come with windows, people come with Linux. [...] So that's the other challenge is people coming in with different technology and then how do you teach them the same thing without saying: "oh, the command in windows is this and the command on a Mac is that"</v>
      </c>
      <c r="G284" s="22" t="str">
        <f>if(QuotesCheckJudgeAbstract&lt;&gt;"",QuotesCheckJudgeAbstract,if(or(QuotesCheckJudge="",and(QuotesCheckJudge = "primeiro", QuotesCheckChallengeRecommendation1 &lt;&gt; "")), QuotesCheckAbstract1,if(and(QuotesCheckJudge = "segundo", QuotesCheckChallengeRecommendation2 &lt;&gt; ""), QuotesCheckAbstract2,"")))</f>
        <v>It's hard to deal with many options of tools.</v>
      </c>
    </row>
    <row r="285">
      <c r="A285" s="22">
        <f>IFERROR(__xludf.DUMMYFUNCTION("if(or(QuotesCheckJudge="""",and(QuotesCheckJudge = ""primeiro"", QuotesCheckChallengeRecommendation1 &lt;&gt; """"),and(QuotesCheckJudge = ""segundo"", QuotesCheckChallengeRecommendation2 &lt;&gt; """")), filter('Quotes-Check'!A285:D285, 'Quotes-Check'!A285:D285&lt;&gt;""g"&amp;"lugluieie""),"""")"),8.0)</f>
        <v>8</v>
      </c>
      <c r="B285" s="22">
        <f>IFERROR(__xludf.DUMMYFUNCTION("""COMPUTED_VALUE"""),7.0)</f>
        <v>7</v>
      </c>
      <c r="C285" s="2" t="str">
        <f>IFERROR(__xludf.DUMMYFUNCTION("""COMPUTED_VALUE"""),"R2 / R3")</f>
        <v>R2 / R3</v>
      </c>
      <c r="D285" s="22" t="str">
        <f>IFERROR(__xludf.DUMMYFUNCTION("""COMPUTED_VALUE"""),"General Challenges and Recommendations")</f>
        <v>General Challenges and Recommendations</v>
      </c>
      <c r="E285" s="46" t="str">
        <f>IFERROR(__xludf.DUMMYFUNCTION("if(or(QuotesCheckJudge="""",and(QuotesCheckJudge = ""primeiro"", QuotesCheckChallengeRecommendation1 &lt;&gt; """")), filter('Quotes-Check'!E285:F285, 'Quotes-Check'!E285:F285&lt;&gt;""glugluieie""),if(and(QuotesCheckJudge = ""segundo"", QuotesCheckChallengeRecommend"&amp;"ation2 &lt;&gt; """"), filter('Quotes-Check'!I285:J285, 'Quotes-Check'!I285:J285&lt;&gt;""glugluieie""),""""))"),"recommendation")</f>
        <v>recommendation</v>
      </c>
      <c r="F285" s="22" t="str">
        <f>IFERROR(__xludf.DUMMYFUNCTION("""COMPUTED_VALUE"""),"so I don't care if you using windows or using Mac or whatever you're using. We're all going to learn a bunch of Linux and we're going to deploy all our stuff, using a bunch of it and use all the tools in a bunch of.")</f>
        <v>so I don't care if you using windows or using Mac or whatever you're using. We're all going to learn a bunch of Linux and we're going to deploy all our stuff, using a bunch of it and use all the tools in a bunch of.</v>
      </c>
      <c r="G285" s="22" t="str">
        <f>if(QuotesCheckJudgeAbstract&lt;&gt;"",QuotesCheckJudgeAbstract,if(or(QuotesCheckJudge="",and(QuotesCheckJudge = "primeiro", QuotesCheckChallengeRecommendation1 &lt;&gt; "")), QuotesCheckAbstract1,if(and(QuotesCheckJudge = "segundo", QuotesCheckChallengeRecommendation2 &lt;&gt; ""), QuotesCheckAbstract2,"")))</f>
        <v>Use Linux operational system.</v>
      </c>
    </row>
    <row r="286">
      <c r="A286" s="22">
        <f>IFERROR(__xludf.DUMMYFUNCTION("if(or(QuotesCheckJudge="""",and(QuotesCheckJudge = ""primeiro"", QuotesCheckChallengeRecommendation1 &lt;&gt; """"),and(QuotesCheckJudge = ""segundo"", QuotesCheckChallengeRecommendation2 &lt;&gt; """")), filter('Quotes-Check'!A286:D286, 'Quotes-Check'!A286:D286&lt;&gt;""g"&amp;"lugluieie""),"""")"),8.0)</f>
        <v>8</v>
      </c>
      <c r="B286" s="22">
        <f>IFERROR(__xludf.DUMMYFUNCTION("""COMPUTED_VALUE"""),7.0)</f>
        <v>7</v>
      </c>
      <c r="C286" s="2" t="str">
        <f>IFERROR(__xludf.DUMMYFUNCTION("""COMPUTED_VALUE"""),"R2 / R3")</f>
        <v>R2 / R3</v>
      </c>
      <c r="D286" s="22" t="str">
        <f>IFERROR(__xludf.DUMMYFUNCTION("""COMPUTED_VALUE"""),"General Challenges and Recommendations")</f>
        <v>General Challenges and Recommendations</v>
      </c>
      <c r="E286" s="46" t="str">
        <f>IFERROR(__xludf.DUMMYFUNCTION("if(or(QuotesCheckJudge="""",and(QuotesCheckJudge = ""primeiro"", QuotesCheckChallengeRecommendation1 &lt;&gt; """")), filter('Quotes-Check'!E286:F286, 'Quotes-Check'!E286:F286&lt;&gt;""glugluieie""),if(and(QuotesCheckJudge = ""segundo"", QuotesCheckChallengeRecommend"&amp;"ation2 &lt;&gt; """"), filter('Quotes-Check'!I286:J286, 'Quotes-Check'!I286:J286&lt;&gt;""glugluieie""),""""))"),"recommendation")</f>
        <v>recommendation</v>
      </c>
      <c r="F286" s="22" t="str">
        <f>IFERROR(__xludf.DUMMYFUNCTION("""COMPUTED_VALUE"""),"We use Vagrant and VirtualBox. And so I don't care if you using windows or using Mac or whatever you're using.")</f>
        <v>We use Vagrant and VirtualBox. And so I don't care if you using windows or using Mac or whatever you're using.</v>
      </c>
      <c r="G286" s="22" t="str">
        <f>if(QuotesCheckJudgeAbstract&lt;&gt;"",QuotesCheckJudgeAbstract,if(or(QuotesCheckJudge="",and(QuotesCheckJudge = "primeiro", QuotesCheckChallengeRecommendation1 &lt;&gt; "")), QuotesCheckAbstract1,if(and(QuotesCheckJudge = "segundo", QuotesCheckChallengeRecommendation2 &lt;&gt; ""), QuotesCheckAbstract2,"")))</f>
        <v>Vagrant and VirtualBox are useful to create consistent development environment.</v>
      </c>
    </row>
    <row r="287">
      <c r="A287" s="22">
        <f>IFERROR(__xludf.DUMMYFUNCTION("if(or(QuotesCheckJudge="""",and(QuotesCheckJudge = ""primeiro"", QuotesCheckChallengeRecommendation1 &lt;&gt; """"),and(QuotesCheckJudge = ""segundo"", QuotesCheckChallengeRecommendation2 &lt;&gt; """")), filter('Quotes-Check'!A287:D287, 'Quotes-Check'!A287:D287&lt;&gt;""g"&amp;"lugluieie""),"""")"),8.0)</f>
        <v>8</v>
      </c>
      <c r="B287" s="22">
        <f>IFERROR(__xludf.DUMMYFUNCTION("""COMPUTED_VALUE"""),8.0)</f>
        <v>8</v>
      </c>
      <c r="C287" s="2" t="str">
        <f>IFERROR(__xludf.DUMMYFUNCTION("""COMPUTED_VALUE"""),"R1 / R3")</f>
        <v>R1 / R3</v>
      </c>
      <c r="D287" s="22" t="str">
        <f>IFERROR(__xludf.DUMMYFUNCTION("""COMPUTED_VALUE"""),"Environment Setup")</f>
        <v>Environment Setup</v>
      </c>
      <c r="E287" s="46" t="str">
        <f>IFERROR(__xludf.DUMMYFUNCTION("if(or(QuotesCheckJudge="""",and(QuotesCheckJudge = ""primeiro"", QuotesCheckChallengeRecommendation1 &lt;&gt; """")), filter('Quotes-Check'!E287:F287, 'Quotes-Check'!E287:F287&lt;&gt;""glugluieie""),if(and(QuotesCheckJudge = ""segundo"", QuotesCheckChallengeRecommend"&amp;"ation2 &lt;&gt; """"), filter('Quotes-Check'!I287:J287, 'Quotes-Check'!I287:J287&lt;&gt;""glugluieie""),""""))"),"recommendation")</f>
        <v>recommendation</v>
      </c>
      <c r="F287" s="22" t="str">
        <f>IFERROR(__xludf.DUMMYFUNCTION("""COMPUTED_VALUE"""),"the environment setup is key. What I would love to do is have an environment in the cloud. That's always consistent. That would kind of be the best. ")</f>
        <v>the environment setup is key. What I would love to do is have an environment in the cloud. That's always consistent. That would kind of be the best. </v>
      </c>
      <c r="G287" s="22" t="str">
        <f>if(QuotesCheckJudgeAbstract&lt;&gt;"",QuotesCheckJudgeAbstract,if(or(QuotesCheckJudge="",and(QuotesCheckJudge = "primeiro", QuotesCheckChallengeRecommendation1 &lt;&gt; "")), QuotesCheckAbstract1,if(and(QuotesCheckJudge = "segundo", QuotesCheckChallengeRecommendation2 &lt;&gt; ""), QuotesCheckAbstract2,"")))</f>
        <v>Do environment setup in the cloud is the best option because they are always consistent.</v>
      </c>
    </row>
    <row r="288">
      <c r="A288" s="22">
        <f>IFERROR(__xludf.DUMMYFUNCTION("if(or(QuotesCheckJudge="""",and(QuotesCheckJudge = ""primeiro"", QuotesCheckChallengeRecommendation1 &lt;&gt; """"),and(QuotesCheckJudge = ""segundo"", QuotesCheckChallengeRecommendation2 &lt;&gt; """")), filter('Quotes-Check'!A288:D288, 'Quotes-Check'!A288:D288&lt;&gt;""g"&amp;"lugluieie""),"""")"),8.0)</f>
        <v>8</v>
      </c>
      <c r="B288" s="22">
        <f>IFERROR(__xludf.DUMMYFUNCTION("""COMPUTED_VALUE"""),8.0)</f>
        <v>8</v>
      </c>
      <c r="C288" s="2" t="str">
        <f>IFERROR(__xludf.DUMMYFUNCTION("""COMPUTED_VALUE"""),"R1 / R3")</f>
        <v>R1 / R3</v>
      </c>
      <c r="D288" s="22" t="str">
        <f>IFERROR(__xludf.DUMMYFUNCTION("""COMPUTED_VALUE"""),"Environment Setup")</f>
        <v>Environment Setup</v>
      </c>
      <c r="E288" s="46" t="str">
        <f>IFERROR(__xludf.DUMMYFUNCTION("if(or(QuotesCheckJudge="""",and(QuotesCheckJudge = ""primeiro"", QuotesCheckChallengeRecommendation1 &lt;&gt; """")), filter('Quotes-Check'!E288:F288, 'Quotes-Check'!E288:F288&lt;&gt;""glugluieie""),if(and(QuotesCheckJudge = ""segundo"", QuotesCheckChallengeRecommend"&amp;"ation2 &lt;&gt; """"), filter('Quotes-Check'!I288:J288, 'Quotes-Check'!I288:J288&lt;&gt;""glugluieie""),""""))"),"challenge")</f>
        <v>challenge</v>
      </c>
      <c r="F288" s="22" t="str">
        <f>IFERROR(__xludf.DUMMYFUNCTION("""COMPUTED_VALUE"""),"there are several environments in the cloud, but they all cost money. ")</f>
        <v>there are several environments in the cloud, but they all cost money. </v>
      </c>
      <c r="G288" s="22" t="str">
        <f>if(QuotesCheckJudgeAbstract&lt;&gt;"",QuotesCheckJudgeAbstract,if(or(QuotesCheckJudge="",and(QuotesCheckJudge = "primeiro", QuotesCheckChallengeRecommendation1 &lt;&gt; "")), QuotesCheckAbstract1,if(and(QuotesCheckJudge = "segundo", QuotesCheckChallengeRecommendation2 &lt;&gt; ""), QuotesCheckAbstract2,"")))</f>
        <v>Environment set up in a cloud service cost money.</v>
      </c>
    </row>
    <row r="289">
      <c r="A289" s="22">
        <f>IFERROR(__xludf.DUMMYFUNCTION("if(or(QuotesCheckJudge="""",and(QuotesCheckJudge = ""primeiro"", QuotesCheckChallengeRecommendation1 &lt;&gt; """"),and(QuotesCheckJudge = ""segundo"", QuotesCheckChallengeRecommendation2 &lt;&gt; """")), filter('Quotes-Check'!A289:D289, 'Quotes-Check'!A289:D289&lt;&gt;""g"&amp;"lugluieie""),"""")"),8.0)</f>
        <v>8</v>
      </c>
      <c r="B289" s="22">
        <f>IFERROR(__xludf.DUMMYFUNCTION("""COMPUTED_VALUE"""),8.0)</f>
        <v>8</v>
      </c>
      <c r="C289" s="2" t="str">
        <f>IFERROR(__xludf.DUMMYFUNCTION("""COMPUTED_VALUE"""),"R1 / R3")</f>
        <v>R1 / R3</v>
      </c>
      <c r="D289" s="22" t="str">
        <f>IFERROR(__xludf.DUMMYFUNCTION("""COMPUTED_VALUE"""),"Environment Setup")</f>
        <v>Environment Setup</v>
      </c>
      <c r="E289" s="46" t="str">
        <f>IFERROR(__xludf.DUMMYFUNCTION("if(or(QuotesCheckJudge="""",and(QuotesCheckJudge = ""primeiro"", QuotesCheckChallengeRecommendation1 &lt;&gt; """")), filter('Quotes-Check'!E289:F289, 'Quotes-Check'!E289:F289&lt;&gt;""glugluieie""),if(and(QuotesCheckJudge = ""segundo"", QuotesCheckChallengeRecommend"&amp;"ation2 &lt;&gt; """"), filter('Quotes-Check'!I289:J289, 'Quotes-Check'!I289:J289&lt;&gt;""glugluieie""),""""))"),"recommendation")</f>
        <v>recommendation</v>
      </c>
      <c r="F289" s="22" t="str">
        <f>IFERROR(__xludf.DUMMYFUNCTION("""COMPUTED_VALUE"""),"I selected Vagrant and virtualbox because they're both free. ... so I had to change the class for them to use Docker and VirtualBox. ")</f>
        <v>I selected Vagrant and virtualbox because they're both free. ... so I had to change the class for them to use Docker and VirtualBox. </v>
      </c>
      <c r="G289" s="22" t="str">
        <f>if(QuotesCheckJudgeAbstract&lt;&gt;"",QuotesCheckJudgeAbstract,if(or(QuotesCheckJudge="",and(QuotesCheckJudge = "primeiro", QuotesCheckChallengeRecommendation1 &lt;&gt; "")), QuotesCheckAbstract1,if(and(QuotesCheckJudge = "segundo", QuotesCheckChallengeRecommendation2 &lt;&gt; ""), QuotesCheckAbstract2,"")))</f>
        <v>I selected Vagrant and virtualbox because they're free.</v>
      </c>
    </row>
    <row r="290">
      <c r="A290" s="22">
        <f>IFERROR(__xludf.DUMMYFUNCTION("if(or(QuotesCheckJudge="""",and(QuotesCheckJudge = ""primeiro"", QuotesCheckChallengeRecommendation1 &lt;&gt; """"),and(QuotesCheckJudge = ""segundo"", QuotesCheckChallengeRecommendation2 &lt;&gt; """")), filter('Quotes-Check'!A290:D290, 'Quotes-Check'!A290:D290&lt;&gt;""g"&amp;"lugluieie""),"""")"),8.0)</f>
        <v>8</v>
      </c>
      <c r="B290" s="22">
        <f>IFERROR(__xludf.DUMMYFUNCTION("""COMPUTED_VALUE"""),8.0)</f>
        <v>8</v>
      </c>
      <c r="C290" s="2" t="str">
        <f>IFERROR(__xludf.DUMMYFUNCTION("""COMPUTED_VALUE"""),"R1 / R3")</f>
        <v>R1 / R3</v>
      </c>
      <c r="D290" s="22" t="str">
        <f>IFERROR(__xludf.DUMMYFUNCTION("""COMPUTED_VALUE"""),"Environment Setup")</f>
        <v>Environment Setup</v>
      </c>
      <c r="E290" s="46" t="str">
        <f>IFERROR(__xludf.DUMMYFUNCTION("if(or(QuotesCheckJudge="""",and(QuotesCheckJudge = ""primeiro"", QuotesCheckChallengeRecommendation1 &lt;&gt; """")), filter('Quotes-Check'!E290:F290, 'Quotes-Check'!E290:F290&lt;&gt;""glugluieie""),if(and(QuotesCheckJudge = ""segundo"", QuotesCheckChallengeRecommend"&amp;"ation2 &lt;&gt; """"), filter('Quotes-Check'!I290:J290, 'Quotes-Check'!I290:J290&lt;&gt;""glugluieie""),""""))"),"recommendation")</f>
        <v>recommendation</v>
      </c>
      <c r="F290" s="22" t="str">
        <f>IFERROR(__xludf.DUMMYFUNCTION("""COMPUTED_VALUE"""),"I selected Vagrant and virtualbox because they're both free. ... so I had to change the class for them to use Docker and VirtualBox. ")</f>
        <v>I selected Vagrant and virtualbox because they're both free. ... so I had to change the class for them to use Docker and VirtualBox. </v>
      </c>
      <c r="G290" s="22" t="str">
        <f>if(QuotesCheckJudgeAbstract&lt;&gt;"",QuotesCheckJudgeAbstract,if(or(QuotesCheckJudge="",and(QuotesCheckJudge = "primeiro", QuotesCheckChallengeRecommendation1 &lt;&gt; "")), QuotesCheckAbstract1,if(and(QuotesCheckJudge = "segundo", QuotesCheckChallengeRecommendation2 &lt;&gt; ""), QuotesCheckAbstract2,"")))</f>
        <v>I selected docker docker because it is free.</v>
      </c>
    </row>
    <row r="291">
      <c r="A291" s="22">
        <f>IFERROR(__xludf.DUMMYFUNCTION("if(or(QuotesCheckJudge="""",and(QuotesCheckJudge = ""primeiro"", QuotesCheckChallengeRecommendation1 &lt;&gt; """"),and(QuotesCheckJudge = ""segundo"", QuotesCheckChallengeRecommendation2 &lt;&gt; """")), filter('Quotes-Check'!A291:D291, 'Quotes-Check'!A291:D291&lt;&gt;""g"&amp;"lugluieie""),"""")"),8.0)</f>
        <v>8</v>
      </c>
      <c r="B291" s="22">
        <f>IFERROR(__xludf.DUMMYFUNCTION("""COMPUTED_VALUE"""),8.0)</f>
        <v>8</v>
      </c>
      <c r="C291" s="2" t="str">
        <f>IFERROR(__xludf.DUMMYFUNCTION("""COMPUTED_VALUE"""),"R1 / R3")</f>
        <v>R1 / R3</v>
      </c>
      <c r="D291" s="22" t="str">
        <f>IFERROR(__xludf.DUMMYFUNCTION("""COMPUTED_VALUE"""),"Environment Setup")</f>
        <v>Environment Setup</v>
      </c>
      <c r="E291" s="46" t="str">
        <f>IFERROR(__xludf.DUMMYFUNCTION("if(or(QuotesCheckJudge="""",and(QuotesCheckJudge = ""primeiro"", QuotesCheckChallengeRecommendation1 &lt;&gt; """")), filter('Quotes-Check'!E291:F291, 'Quotes-Check'!E291:F291&lt;&gt;""glugluieie""),if(and(QuotesCheckJudge = ""segundo"", QuotesCheckChallengeRecommend"&amp;"ation2 &lt;&gt; """"), filter('Quotes-Check'!I291:J291, 'Quotes-Check'!I291:J291&lt;&gt;""glugluieie""),""""))"),"challenge")</f>
        <v>challenge</v>
      </c>
      <c r="F291" s="22" t="str">
        <f>IFERROR(__xludf.DUMMYFUNCTION("""COMPUTED_VALUE""")," However, last semester eight of my students showed up with apple, M one Silicon Macs and they don't run VirtualBox because VirtualBox only runs on Intel. It's not an emulator. It is a virtualizing layer, right? It needs an Intel CPU in order to virtualiz"&amp;"e. Um, and so I had to change the class for them to use Docker and VirtualBox. ")</f>
        <v> However, last semester eight of my students showed up with apple, M one Silicon Macs and they don't run VirtualBox because VirtualBox only runs on Intel. It's not an emulator. It is a virtualizing layer, right? It needs an Intel CPU in order to virtualize. Um, and so I had to change the class for them to use Docker and VirtualBox. </v>
      </c>
      <c r="G291" s="22" t="str">
        <f>if(QuotesCheckJudgeAbstract&lt;&gt;"",QuotesCheckJudgeAbstract,if(or(QuotesCheckJudge="",and(QuotesCheckJudge = "primeiro", QuotesCheckChallengeRecommendation1 &lt;&gt; "")), QuotesCheckAbstract1,if(and(QuotesCheckJudge = "segundo", QuotesCheckChallengeRecommendation2 &lt;&gt; ""), QuotesCheckAbstract2,"")))</f>
        <v>VirtualBox has limitation in MacOS.</v>
      </c>
    </row>
    <row r="292">
      <c r="A292" s="22">
        <f>IFERROR(__xludf.DUMMYFUNCTION("if(or(QuotesCheckJudge="""",and(QuotesCheckJudge = ""primeiro"", QuotesCheckChallengeRecommendation1 &lt;&gt; """"),and(QuotesCheckJudge = ""segundo"", QuotesCheckChallengeRecommendation2 &lt;&gt; """")), filter('Quotes-Check'!A292:D292, 'Quotes-Check'!A292:D292&lt;&gt;""g"&amp;"lugluieie""),"""")"),8.0)</f>
        <v>8</v>
      </c>
      <c r="B292" s="22">
        <f>IFERROR(__xludf.DUMMYFUNCTION("""COMPUTED_VALUE"""),8.0)</f>
        <v>8</v>
      </c>
      <c r="C292" s="2" t="str">
        <f>IFERROR(__xludf.DUMMYFUNCTION("""COMPUTED_VALUE"""),"R1 / R3")</f>
        <v>R1 / R3</v>
      </c>
      <c r="D292" s="22" t="str">
        <f>IFERROR(__xludf.DUMMYFUNCTION("""COMPUTED_VALUE"""),"Environment Setup")</f>
        <v>Environment Setup</v>
      </c>
      <c r="E292" s="46" t="str">
        <f>IFERROR(__xludf.DUMMYFUNCTION("if(or(QuotesCheckJudge="""",and(QuotesCheckJudge = ""primeiro"", QuotesCheckChallengeRecommendation1 &lt;&gt; """")), filter('Quotes-Check'!E292:F292, 'Quotes-Check'!E292:F292&lt;&gt;""glugluieie""),if(and(QuotesCheckJudge = ""segundo"", QuotesCheckChallengeRecommend"&amp;"ation2 &lt;&gt; """"), filter('Quotes-Check'!I292:J292, 'Quotes-Check'!I292:J292&lt;&gt;""glugluieie""),""""))"),"recommendation")</f>
        <v>recommendation</v>
      </c>
      <c r="F292" s="22" t="str">
        <f>IFERROR(__xludf.DUMMYFUNCTION("""COMPUTED_VALUE"""),"They call my repo, Vagrant up and they're up and running. And so that's how I solve that problem. Bigger. It does a very good job of solving that consistent environments for students. ")</f>
        <v>They call my repo, Vagrant up and they're up and running. And so that's how I solve that problem. Bigger. It does a very good job of solving that consistent environments for students. </v>
      </c>
      <c r="G292" s="22" t="str">
        <f>if(QuotesCheckJudgeAbstract&lt;&gt;"",QuotesCheckJudgeAbstract,if(or(QuotesCheckJudge="",and(QuotesCheckJudge = "primeiro", QuotesCheckChallengeRecommendation1 &lt;&gt; "")), QuotesCheckAbstract1,if(and(QuotesCheckJudge = "segundo", QuotesCheckChallengeRecommendation2 &lt;&gt; ""), QuotesCheckAbstract2,"")))</f>
        <v>Make environment setup consistent between students using Vagrant.</v>
      </c>
    </row>
    <row r="293">
      <c r="A293" s="22">
        <f>IFERROR(__xludf.DUMMYFUNCTION("if(or(QuotesCheckJudge="""",and(QuotesCheckJudge = ""primeiro"", QuotesCheckChallengeRecommendation1 &lt;&gt; """"),and(QuotesCheckJudge = ""segundo"", QuotesCheckChallengeRecommendation2 &lt;&gt; """")), filter('Quotes-Check'!A293:D293, 'Quotes-Check'!A293:D293&lt;&gt;""g"&amp;"lugluieie""),"""")"),8.0)</f>
        <v>8</v>
      </c>
      <c r="B293" s="22">
        <f>IFERROR(__xludf.DUMMYFUNCTION("""COMPUTED_VALUE"""),8.0)</f>
        <v>8</v>
      </c>
      <c r="C293" s="2" t="str">
        <f>IFERROR(__xludf.DUMMYFUNCTION("""COMPUTED_VALUE"""),"R1 / R3")</f>
        <v>R1 / R3</v>
      </c>
      <c r="D293" s="22" t="str">
        <f>IFERROR(__xludf.DUMMYFUNCTION("""COMPUTED_VALUE"""),"Environment Setup")</f>
        <v>Environment Setup</v>
      </c>
      <c r="E293" s="46" t="str">
        <f>IFERROR(__xludf.DUMMYFUNCTION("if(or(QuotesCheckJudge="""",and(QuotesCheckJudge = ""primeiro"", QuotesCheckChallengeRecommendation1 &lt;&gt; """")), filter('Quotes-Check'!E293:F293, 'Quotes-Check'!E293:F293&lt;&gt;""glugluieie""),if(and(QuotesCheckJudge = ""segundo"", QuotesCheckChallengeRecommend"&amp;"ation2 &lt;&gt; """"), filter('Quotes-Check'!I293:J293, 'Quotes-Check'!I293:J293&lt;&gt;""glugluieie""),""""))"),"recommendation")</f>
        <v>recommendation</v>
      </c>
      <c r="F293" s="22" t="str">
        <f>IFERROR(__xludf.DUMMYFUNCTION("""COMPUTED_VALUE"""),"we use selenium to, to work on the, uh, on the UI, as a browser")</f>
        <v>we use selenium to, to work on the, uh, on the UI, as a browser</v>
      </c>
      <c r="G293" s="22" t="str">
        <f>if(QuotesCheckJudgeAbstract&lt;&gt;"",QuotesCheckJudgeAbstract,if(or(QuotesCheckJudge="",and(QuotesCheckJudge = "primeiro", QuotesCheckChallengeRecommendation1 &lt;&gt; "")), QuotesCheckAbstract1,if(and(QuotesCheckJudge = "segundo", QuotesCheckChallengeRecommendation2 &lt;&gt; ""), QuotesCheckAbstract2,"")))</f>
        <v>Uses Selenium to automate UI tests.</v>
      </c>
    </row>
    <row r="294">
      <c r="A294" s="22">
        <f>IFERROR(__xludf.DUMMYFUNCTION("if(or(QuotesCheckJudge="""",and(QuotesCheckJudge = ""primeiro"", QuotesCheckChallengeRecommendation1 &lt;&gt; """"),and(QuotesCheckJudge = ""segundo"", QuotesCheckChallengeRecommendation2 &lt;&gt; """")), filter('Quotes-Check'!A294:D294, 'Quotes-Check'!A294:D294&lt;&gt;""g"&amp;"lugluieie""),"""")"),8.0)</f>
        <v>8</v>
      </c>
      <c r="B294" s="22">
        <f>IFERROR(__xludf.DUMMYFUNCTION("""COMPUTED_VALUE"""),9.0)</f>
        <v>9</v>
      </c>
      <c r="C294" s="2" t="str">
        <f>IFERROR(__xludf.DUMMYFUNCTION("""COMPUTED_VALUE"""),"R1 / R3")</f>
        <v>R1 / R3</v>
      </c>
      <c r="D294" s="22" t="str">
        <f>IFERROR(__xludf.DUMMYFUNCTION("""COMPUTED_VALUE"""),"Tool / Technology")</f>
        <v>Tool / Technology</v>
      </c>
      <c r="E294" s="46" t="str">
        <f>IFERROR(__xludf.DUMMYFUNCTION("if(or(QuotesCheckJudge="""",and(QuotesCheckJudge = ""primeiro"", QuotesCheckChallengeRecommendation1 &lt;&gt; """")), filter('Quotes-Check'!E294:F294, 'Quotes-Check'!E294:F294&lt;&gt;""glugluieie""),if(and(QuotesCheckJudge = ""segundo"", QuotesCheckChallengeRecommend"&amp;"ation2 &lt;&gt; """"), filter('Quotes-Check'!I294:J294, 'Quotes-Check'!I294:J294&lt;&gt;""glugluieie""),""""))"),"recommendation")</f>
        <v>recommendation</v>
      </c>
      <c r="F294" s="22" t="str">
        <f>IFERROR(__xludf.DUMMYFUNCTION("""COMPUTED_VALUE"""),"Students will ask me, can I use a different test suite? Can I use, you know, something different? And I'll say, well, you can, but then it's up to you to figure out how it integrates back into everything. ")</f>
        <v>Students will ask me, can I use a different test suite? Can I use, you know, something different? And I'll say, well, you can, but then it's up to you to figure out how it integrates back into everything. </v>
      </c>
      <c r="G294" s="22" t="str">
        <f>if(QuotesCheckJudgeAbstract&lt;&gt;"",QuotesCheckJudgeAbstract,if(or(QuotesCheckJudge="",and(QuotesCheckJudge = "primeiro", QuotesCheckChallengeRecommendation1 &lt;&gt; "")), QuotesCheckAbstract1,if(and(QuotesCheckJudge = "segundo", QuotesCheckChallengeRecommendation2 &lt;&gt; ""), QuotesCheckAbstract2,"")))</f>
        <v>Students could use other tools non-taught without professor support.</v>
      </c>
    </row>
    <row r="295">
      <c r="A295" s="22">
        <f>IFERROR(__xludf.DUMMYFUNCTION("if(or(QuotesCheckJudge="""",and(QuotesCheckJudge = ""primeiro"", QuotesCheckChallengeRecommendation1 &lt;&gt; """"),and(QuotesCheckJudge = ""segundo"", QuotesCheckChallengeRecommendation2 &lt;&gt; """")), filter('Quotes-Check'!A295:D295, 'Quotes-Check'!A295:D295&lt;&gt;""g"&amp;"lugluieie""),"""")"),8.0)</f>
        <v>8</v>
      </c>
      <c r="B295" s="22">
        <f>IFERROR(__xludf.DUMMYFUNCTION("""COMPUTED_VALUE"""),9.0)</f>
        <v>9</v>
      </c>
      <c r="C295" s="2" t="str">
        <f>IFERROR(__xludf.DUMMYFUNCTION("""COMPUTED_VALUE"""),"R1 / R3")</f>
        <v>R1 / R3</v>
      </c>
      <c r="D295" s="22" t="str">
        <f>IFERROR(__xludf.DUMMYFUNCTION("""COMPUTED_VALUE"""),"Tool / Technology")</f>
        <v>Tool / Technology</v>
      </c>
      <c r="E295" s="46" t="str">
        <f>IFERROR(__xludf.DUMMYFUNCTION("if(or(QuotesCheckJudge="""",and(QuotesCheckJudge = ""primeiro"", QuotesCheckChallengeRecommendation1 &lt;&gt; """")), filter('Quotes-Check'!E295:F295, 'Quotes-Check'!E295:F295&lt;&gt;""glugluieie""),if(and(QuotesCheckJudge = ""segundo"", QuotesCheckChallengeRecommend"&amp;"ation2 &lt;&gt; """"), filter('Quotes-Check'!I295:J295, 'Quotes-Check'!I295:J295&lt;&gt;""glugluieie""),""""))"),"recommendation")</f>
        <v>recommendation</v>
      </c>
      <c r="F295" s="22" t="str">
        <f>IFERROR(__xludf.DUMMYFUNCTION("""COMPUTED_VALUE""")," I also try to use a set of tools that are popular in the industry. ")</f>
        <v> I also try to use a set of tools that are popular in the industry. </v>
      </c>
      <c r="G295" s="22" t="str">
        <f>if(QuotesCheckJudgeAbstract&lt;&gt;"",QuotesCheckJudgeAbstract,if(or(QuotesCheckJudge="",and(QuotesCheckJudge = "primeiro", QuotesCheckChallengeRecommendation1 &lt;&gt; "")), QuotesCheckAbstract1,if(and(QuotesCheckJudge = "segundo", QuotesCheckChallengeRecommendation2 &lt;&gt; ""), QuotesCheckAbstract2,"")))</f>
        <v>Use popular industry tools.</v>
      </c>
    </row>
    <row r="296">
      <c r="A296" s="22">
        <f>IFERROR(__xludf.DUMMYFUNCTION("if(or(QuotesCheckJudge="""",and(QuotesCheckJudge = ""primeiro"", QuotesCheckChallengeRecommendation1 &lt;&gt; """"),and(QuotesCheckJudge = ""segundo"", QuotesCheckChallengeRecommendation2 &lt;&gt; """")), filter('Quotes-Check'!A296:D296, 'Quotes-Check'!A296:D296&lt;&gt;""g"&amp;"lugluieie""),"""")"),8.0)</f>
        <v>8</v>
      </c>
      <c r="B296" s="22">
        <f>IFERROR(__xludf.DUMMYFUNCTION("""COMPUTED_VALUE"""),9.0)</f>
        <v>9</v>
      </c>
      <c r="C296" s="2" t="str">
        <f>IFERROR(__xludf.DUMMYFUNCTION("""COMPUTED_VALUE"""),"R1 / R3")</f>
        <v>R1 / R3</v>
      </c>
      <c r="D296" s="22" t="str">
        <f>IFERROR(__xludf.DUMMYFUNCTION("""COMPUTED_VALUE"""),"Tool / Technology")</f>
        <v>Tool / Technology</v>
      </c>
      <c r="E296" s="46" t="str">
        <f>IFERROR(__xludf.DUMMYFUNCTION("if(or(QuotesCheckJudge="""",and(QuotesCheckJudge = ""primeiro"", QuotesCheckChallengeRecommendation1 &lt;&gt; """")), filter('Quotes-Check'!E296:F296, 'Quotes-Check'!E296:F296&lt;&gt;""glugluieie""),if(and(QuotesCheckJudge = ""segundo"", QuotesCheckChallengeRecommend"&amp;"ation2 &lt;&gt; """"), filter('Quotes-Check'!I296:J296, 'Quotes-Check'!I296:J296&lt;&gt;""glugluieie""),""""))"),"challenge")</f>
        <v>challenge</v>
      </c>
      <c r="F296" s="22" t="str">
        <f>IFERROR(__xludf.DUMMYFUNCTION("""COMPUTED_VALUE""")," you have to change the tools almost every semester or every two years. You've got to look at what are the popular tools right now.")</f>
        <v> you have to change the tools almost every semester or every two years. You've got to look at what are the popular tools right now.</v>
      </c>
      <c r="G296" s="22" t="str">
        <f>if(QuotesCheckJudgeAbstract&lt;&gt;"",QuotesCheckJudgeAbstract,if(or(QuotesCheckJudge="",and(QuotesCheckJudge = "primeiro", QuotesCheckChallengeRecommendation1 &lt;&gt; "")), QuotesCheckAbstract1,if(and(QuotesCheckJudge = "segundo", QuotesCheckChallengeRecommendation2 &lt;&gt; ""), QuotesCheckAbstract2,"")))</f>
        <v>Every semester is necessary to update tools used on course.</v>
      </c>
    </row>
    <row r="297">
      <c r="A297" s="22">
        <f>IFERROR(__xludf.DUMMYFUNCTION("if(or(QuotesCheckJudge="""",and(QuotesCheckJudge = ""primeiro"", QuotesCheckChallengeRecommendation1 &lt;&gt; """"),and(QuotesCheckJudge = ""segundo"", QuotesCheckChallengeRecommendation2 &lt;&gt; """")), filter('Quotes-Check'!A297:D297, 'Quotes-Check'!A297:D297&lt;&gt;""g"&amp;"lugluieie""),"""")"),8.0)</f>
        <v>8</v>
      </c>
      <c r="B297" s="22">
        <f>IFERROR(__xludf.DUMMYFUNCTION("""COMPUTED_VALUE"""),9.0)</f>
        <v>9</v>
      </c>
      <c r="C297" s="2" t="str">
        <f>IFERROR(__xludf.DUMMYFUNCTION("""COMPUTED_VALUE"""),"R1 / R3")</f>
        <v>R1 / R3</v>
      </c>
      <c r="D297" s="22" t="str">
        <f>IFERROR(__xludf.DUMMYFUNCTION("""COMPUTED_VALUE"""),"Tool / Technology")</f>
        <v>Tool / Technology</v>
      </c>
      <c r="E297" s="46" t="str">
        <f>IFERROR(__xludf.DUMMYFUNCTION("if(or(QuotesCheckJudge="""",and(QuotesCheckJudge = ""primeiro"", QuotesCheckChallengeRecommendation1 &lt;&gt; """")), filter('Quotes-Check'!E297:F297, 'Quotes-Check'!E297:F297&lt;&gt;""glugluieie""),if(and(QuotesCheckJudge = ""segundo"", QuotesCheckChallengeRecommend"&amp;"ation2 &lt;&gt; """"), filter('Quotes-Check'!I297:J297, 'Quotes-Check'!I297:J297&lt;&gt;""glugluieie""),""""))"),"recommendation")</f>
        <v>recommendation</v>
      </c>
      <c r="F297" s="22" t="str">
        <f>IFERROR(__xludf.DUMMYFUNCTION("""COMPUTED_VALUE"""),"   People use an Argo CD to do continuous delivery. They used to be using Jenkins. So do you still teach Jenkins? Do you teach them Argo? Um, so it's a constant, um, improvement on the tools are what tools are popular, what tools are going to get them a j"&amp;"ob in the industry, right? ")</f>
        <v>   People use an Argo CD to do continuous delivery. They used to be using Jenkins. So do you still teach Jenkins? Do you teach them Argo? Um, so it's a constant, um, improvement on the tools are what tools are popular, what tools are going to get them a job in the industry, right? </v>
      </c>
      <c r="G297" s="22" t="str">
        <f>if(QuotesCheckJudgeAbstract&lt;&gt;"",QuotesCheckJudgeAbstract,if(or(QuotesCheckJudge="",and(QuotesCheckJudge = "primeiro", QuotesCheckChallengeRecommendation1 &lt;&gt; "")), QuotesCheckAbstract1,if(and(QuotesCheckJudge = "segundo", QuotesCheckChallengeRecommendation2 &lt;&gt; ""), QuotesCheckAbstract2,"")))</f>
        <v>Argo CD is a more current continuous delivery tool than Jenkins.</v>
      </c>
    </row>
    <row r="298">
      <c r="A298" s="22">
        <f>IFERROR(__xludf.DUMMYFUNCTION("if(or(QuotesCheckJudge="""",and(QuotesCheckJudge = ""primeiro"", QuotesCheckChallengeRecommendation1 &lt;&gt; """"),and(QuotesCheckJudge = ""segundo"", QuotesCheckChallengeRecommendation2 &lt;&gt; """")), filter('Quotes-Check'!A298:D298, 'Quotes-Check'!A298:D298&lt;&gt;""g"&amp;"lugluieie""),"""")"),8.0)</f>
        <v>8</v>
      </c>
      <c r="B298" s="22">
        <f>IFERROR(__xludf.DUMMYFUNCTION("""COMPUTED_VALUE"""),9.0)</f>
        <v>9</v>
      </c>
      <c r="C298" s="2" t="str">
        <f>IFERROR(__xludf.DUMMYFUNCTION("""COMPUTED_VALUE"""),"R1 / R3")</f>
        <v>R1 / R3</v>
      </c>
      <c r="D298" s="22" t="str">
        <f>IFERROR(__xludf.DUMMYFUNCTION("""COMPUTED_VALUE"""),"Tool / Technology")</f>
        <v>Tool / Technology</v>
      </c>
      <c r="E298" s="46" t="str">
        <f>IFERROR(__xludf.DUMMYFUNCTION("if(or(QuotesCheckJudge="""",and(QuotesCheckJudge = ""primeiro"", QuotesCheckChallengeRecommendation1 &lt;&gt; """")), filter('Quotes-Check'!E298:F298, 'Quotes-Check'!E298:F298&lt;&gt;""glugluieie""),if(and(QuotesCheckJudge = ""segundo"", QuotesCheckChallengeRecommend"&amp;"ation2 &lt;&gt; """"), filter('Quotes-Check'!I298:J298, 'Quotes-Check'!I298:J298&lt;&gt;""glugluieie""),""""))"),"recommendation")</f>
        <v>recommendation</v>
      </c>
      <c r="F298" s="22" t="str">
        <f>IFERROR(__xludf.DUMMYFUNCTION("""COMPUTED_VALUE"""),"    is very critical to teach them tools that are relevant and tools that will help them get a job.")</f>
        <v>    is very critical to teach them tools that are relevant and tools that will help them get a job.</v>
      </c>
      <c r="G298" s="22" t="str">
        <f>if(QuotesCheckJudgeAbstract&lt;&gt;"",QuotesCheckJudgeAbstract,if(or(QuotesCheckJudge="",and(QuotesCheckJudge = "primeiro", QuotesCheckChallengeRecommendation1 &lt;&gt; "")), QuotesCheckAbstract1,if(and(QuotesCheckJudge = "segundo", QuotesCheckChallengeRecommendation2 &lt;&gt; ""), QuotesCheckAbstract2,"")))</f>
        <v>Teach tools that will help to get a job.</v>
      </c>
    </row>
    <row r="299">
      <c r="A299" s="22">
        <f>IFERROR(__xludf.DUMMYFUNCTION("if(or(QuotesCheckJudge="""",and(QuotesCheckJudge = ""primeiro"", QuotesCheckChallengeRecommendation1 &lt;&gt; """"),and(QuotesCheckJudge = ""segundo"", QuotesCheckChallengeRecommendation2 &lt;&gt; """")), filter('Quotes-Check'!A299:D299, 'Quotes-Check'!A299:D299&lt;&gt;""g"&amp;"lugluieie""),"""")"),8.0)</f>
        <v>8</v>
      </c>
      <c r="B299" s="22">
        <f>IFERROR(__xludf.DUMMYFUNCTION("""COMPUTED_VALUE"""),9.0)</f>
        <v>9</v>
      </c>
      <c r="C299" s="2" t="str">
        <f>IFERROR(__xludf.DUMMYFUNCTION("""COMPUTED_VALUE"""),"R1 / R3")</f>
        <v>R1 / R3</v>
      </c>
      <c r="D299" s="22" t="str">
        <f>IFERROR(__xludf.DUMMYFUNCTION("""COMPUTED_VALUE"""),"Tool / Technology")</f>
        <v>Tool / Technology</v>
      </c>
      <c r="E299" s="46" t="str">
        <f>IFERROR(__xludf.DUMMYFUNCTION("if(or(QuotesCheckJudge="""",and(QuotesCheckJudge = ""primeiro"", QuotesCheckChallengeRecommendation1 &lt;&gt; """")), filter('Quotes-Check'!E299:F299, 'Quotes-Check'!E299:F299&lt;&gt;""glugluieie""),if(and(QuotesCheckJudge = ""segundo"", QuotesCheckChallengeRecommend"&amp;"ation2 &lt;&gt; """"), filter('Quotes-Check'!I299:J299, 'Quotes-Check'!I299:J299&lt;&gt;""glugluieie""),""""))"),"challenge")</f>
        <v>challenge</v>
      </c>
      <c r="F299" s="22" t="str">
        <f>IFERROR(__xludf.DUMMYFUNCTION("""COMPUTED_VALUE"""),"You have to find a set of tools that work together.")</f>
        <v>You have to find a set of tools that work together.</v>
      </c>
      <c r="G299" s="22" t="str">
        <f>if(QuotesCheckJudgeAbstract&lt;&gt;"",QuotesCheckJudgeAbstract,if(or(QuotesCheckJudge="",and(QuotesCheckJudge = "primeiro", QuotesCheckChallengeRecommendation1 &lt;&gt; "")), QuotesCheckAbstract1,if(and(QuotesCheckJudge = "segundo", QuotesCheckChallengeRecommendation2 &lt;&gt; ""), QuotesCheckAbstract2,"")))</f>
        <v>You have to find a set of tools that work together.</v>
      </c>
    </row>
    <row r="300">
      <c r="A300" s="22">
        <f>IFERROR(__xludf.DUMMYFUNCTION("if(or(QuotesCheckJudge="""",and(QuotesCheckJudge = ""primeiro"", QuotesCheckChallengeRecommendation1 &lt;&gt; """"),and(QuotesCheckJudge = ""segundo"", QuotesCheckChallengeRecommendation2 &lt;&gt; """")), filter('Quotes-Check'!A300:D300, 'Quotes-Check'!A300:D300&lt;&gt;""g"&amp;"lugluieie""),"""")"),8.0)</f>
        <v>8</v>
      </c>
      <c r="B300" s="22">
        <f>IFERROR(__xludf.DUMMYFUNCTION("""COMPUTED_VALUE"""),10.0)</f>
        <v>10</v>
      </c>
      <c r="C300" s="2" t="str">
        <f>IFERROR(__xludf.DUMMYFUNCTION("""COMPUTED_VALUE"""),"R1 / R3")</f>
        <v>R1 / R3</v>
      </c>
      <c r="D300" s="22" t="str">
        <f>IFERROR(__xludf.DUMMYFUNCTION("""COMPUTED_VALUE"""),"DevOps Concepts")</f>
        <v>DevOps Concepts</v>
      </c>
      <c r="E300" s="46" t="str">
        <f>IFERROR(__xludf.DUMMYFUNCTION("if(or(QuotesCheckJudge="""",and(QuotesCheckJudge = ""primeiro"", QuotesCheckChallengeRecommendation1 &lt;&gt; """")), filter('Quotes-Check'!E300:F300, 'Quotes-Check'!E300:F300&lt;&gt;""glugluieie""),if(and(QuotesCheckJudge = ""segundo"", QuotesCheckChallengeRecommend"&amp;"ation2 &lt;&gt; """"), filter('Quotes-Check'!I300:J300, 'Quotes-Check'!I300:J300&lt;&gt;""glugluieie""),""""))"),"challenge")</f>
        <v>challenge</v>
      </c>
      <c r="F300" s="22" t="str">
        <f>IFERROR(__xludf.DUMMYFUNCTION("""COMPUTED_VALUE"""),"a big challenge is students learning to be, um, to be agile working as a team pair programming. ")</f>
        <v>a big challenge is students learning to be, um, to be agile working as a team pair programming. </v>
      </c>
      <c r="G300" s="22" t="str">
        <f>if(QuotesCheckJudgeAbstract&lt;&gt;"",QuotesCheckJudgeAbstract,if(or(QuotesCheckJudge="",and(QuotesCheckJudge = "primeiro", QuotesCheckChallengeRecommendation1 &lt;&gt; "")), QuotesCheckAbstract1,if(and(QuotesCheckJudge = "segundo", QuotesCheckChallengeRecommendation2 &lt;&gt; ""), QuotesCheckAbstract2,"")))</f>
        <v>It is difficult to students learning agile techniques like pair programming.</v>
      </c>
    </row>
    <row r="301">
      <c r="A301" s="22">
        <f>IFERROR(__xludf.DUMMYFUNCTION("if(or(QuotesCheckJudge="""",and(QuotesCheckJudge = ""primeiro"", QuotesCheckChallengeRecommendation1 &lt;&gt; """"),and(QuotesCheckJudge = ""segundo"", QuotesCheckChallengeRecommendation2 &lt;&gt; """")), filter('Quotes-Check'!A301:D301, 'Quotes-Check'!A301:D301&lt;&gt;""g"&amp;"lugluieie""),"""")"),8.0)</f>
        <v>8</v>
      </c>
      <c r="B301" s="22">
        <f>IFERROR(__xludf.DUMMYFUNCTION("""COMPUTED_VALUE"""),10.0)</f>
        <v>10</v>
      </c>
      <c r="C301" s="2" t="str">
        <f>IFERROR(__xludf.DUMMYFUNCTION("""COMPUTED_VALUE"""),"R1 / R3")</f>
        <v>R1 / R3</v>
      </c>
      <c r="D301" s="22" t="str">
        <f>IFERROR(__xludf.DUMMYFUNCTION("""COMPUTED_VALUE"""),"DevOps Concepts")</f>
        <v>DevOps Concepts</v>
      </c>
      <c r="E301" s="46" t="str">
        <f>IFERROR(__xludf.DUMMYFUNCTION("if(or(QuotesCheckJudge="""",and(QuotesCheckJudge = ""primeiro"", QuotesCheckChallengeRecommendation1 &lt;&gt; """")), filter('Quotes-Check'!E301:F301, 'Quotes-Check'!E301:F301&lt;&gt;""glugluieie""),if(and(QuotesCheckJudge = ""segundo"", QuotesCheckChallengeRecommend"&amp;"ation2 &lt;&gt; """"), filter('Quotes-Check'!I301:J301, 'Quotes-Check'!I301:J301&lt;&gt;""glugluieie""),""""))"),"recommendation")</f>
        <v>recommendation</v>
      </c>
      <c r="F301" s="22" t="str">
        <f>IFERROR(__xludf.DUMMYFUNCTION("""COMPUTED_VALUE"""),"I'm going to watch your Kanban board every week")</f>
        <v>I'm going to watch your Kanban board every week</v>
      </c>
      <c r="G301" s="22" t="str">
        <f>if(QuotesCheckJudgeAbstract&lt;&gt;"",QuotesCheckJudgeAbstract,if(or(QuotesCheckJudge="",and(QuotesCheckJudge = "primeiro", QuotesCheckChallengeRecommendation1 &lt;&gt; "")), QuotesCheckAbstract1,if(and(QuotesCheckJudge = "segundo", QuotesCheckChallengeRecommendation2 &lt;&gt; ""), QuotesCheckAbstract2,"")))</f>
        <v>Teach Kanban board.</v>
      </c>
    </row>
    <row r="302">
      <c r="A302" s="22">
        <f>IFERROR(__xludf.DUMMYFUNCTION("if(or(QuotesCheckJudge="""",and(QuotesCheckJudge = ""primeiro"", QuotesCheckChallengeRecommendation1 &lt;&gt; """"),and(QuotesCheckJudge = ""segundo"", QuotesCheckChallengeRecommendation2 &lt;&gt; """")), filter('Quotes-Check'!A302:D302, 'Quotes-Check'!A302:D302&lt;&gt;""g"&amp;"lugluieie""),"""")"),8.0)</f>
        <v>8</v>
      </c>
      <c r="B302" s="22">
        <f>IFERROR(__xludf.DUMMYFUNCTION("""COMPUTED_VALUE"""),10.0)</f>
        <v>10</v>
      </c>
      <c r="C302" s="2" t="str">
        <f>IFERROR(__xludf.DUMMYFUNCTION("""COMPUTED_VALUE"""),"R1 / R3")</f>
        <v>R1 / R3</v>
      </c>
      <c r="D302" s="22" t="str">
        <f>IFERROR(__xludf.DUMMYFUNCTION("""COMPUTED_VALUE"""),"DevOps Concepts")</f>
        <v>DevOps Concepts</v>
      </c>
      <c r="E302" s="46" t="str">
        <f>IFERROR(__xludf.DUMMYFUNCTION("if(or(QuotesCheckJudge="""",and(QuotesCheckJudge = ""primeiro"", QuotesCheckChallengeRecommendation1 &lt;&gt; """")), filter('Quotes-Check'!E302:F302, 'Quotes-Check'!E302:F302&lt;&gt;""glugluieie""),if(and(QuotesCheckJudge = ""segundo"", QuotesCheckChallengeRecommend"&amp;"ation2 &lt;&gt; """"), filter('Quotes-Check'!I302:J302, 'Quotes-Check'!I302:J302&lt;&gt;""glugluieie""),""""))"),"challenge")</f>
        <v>challenge</v>
      </c>
      <c r="F302" s="22" t="str">
        <f>IFERROR(__xludf.DUMMYFUNCTION("""COMPUTED_VALUE""")," lot of those concepts are hard to teach in a classroom setting")</f>
        <v> lot of those concepts are hard to teach in a classroom setting</v>
      </c>
      <c r="G302" s="22" t="str">
        <f>if(QuotesCheckJudgeAbstract&lt;&gt;"",QuotesCheckJudgeAbstract,if(or(QuotesCheckJudge="",and(QuotesCheckJudge = "primeiro", QuotesCheckChallengeRecommendation1 &lt;&gt; "")), QuotesCheckAbstract1,if(and(QuotesCheckJudge = "segundo", QuotesCheckChallengeRecommendation2 &lt;&gt; ""), QuotesCheckAbstract2,"")))</f>
        <v>A lot of devops concepts are hard to teach in a classroom setting.</v>
      </c>
    </row>
    <row r="303">
      <c r="A303" s="22">
        <f>IFERROR(__xludf.DUMMYFUNCTION("if(or(QuotesCheckJudge="""",and(QuotesCheckJudge = ""primeiro"", QuotesCheckChallengeRecommendation1 &lt;&gt; """"),and(QuotesCheckJudge = ""segundo"", QuotesCheckChallengeRecommendation2 &lt;&gt; """")), filter('Quotes-Check'!A303:D303, 'Quotes-Check'!A303:D303&lt;&gt;""g"&amp;"lugluieie""),"""")"),8.0)</f>
        <v>8</v>
      </c>
      <c r="B303" s="22">
        <f>IFERROR(__xludf.DUMMYFUNCTION("""COMPUTED_VALUE"""),10.0)</f>
        <v>10</v>
      </c>
      <c r="C303" s="2" t="str">
        <f>IFERROR(__xludf.DUMMYFUNCTION("""COMPUTED_VALUE"""),"R1 / R3")</f>
        <v>R1 / R3</v>
      </c>
      <c r="D303" s="22" t="str">
        <f>IFERROR(__xludf.DUMMYFUNCTION("""COMPUTED_VALUE"""),"DevOps Concepts")</f>
        <v>DevOps Concepts</v>
      </c>
      <c r="E303" s="46" t="str">
        <f>IFERROR(__xludf.DUMMYFUNCTION("if(or(QuotesCheckJudge="""",and(QuotesCheckJudge = ""primeiro"", QuotesCheckChallengeRecommendation1 &lt;&gt; """")), filter('Quotes-Check'!E303:F303, 'Quotes-Check'!E303:F303&lt;&gt;""glugluieie""),if(and(QuotesCheckJudge = ""segundo"", QuotesCheckChallengeRecommend"&amp;"ation2 &lt;&gt; """"), filter('Quotes-Check'!I303:J303, 'Quotes-Check'!I303:J303&lt;&gt;""glugluieie""),""""))"),"recommendation")</f>
        <v>recommendation</v>
      </c>
      <c r="F303" s="22" t="str">
        <f>IFERROR(__xludf.DUMMYFUNCTION("""COMPUTED_VALUE"""),"you can't just grade what they submit. You have to watch how they're working.")</f>
        <v>you can't just grade what they submit. You have to watch how they're working.</v>
      </c>
      <c r="G303" s="22" t="str">
        <f>if(QuotesCheckJudgeAbstract&lt;&gt;"",QuotesCheckJudgeAbstract,if(or(QuotesCheckJudge="",and(QuotesCheckJudge = "primeiro", QuotesCheckChallengeRecommendation1 &lt;&gt; "")), QuotesCheckAbstract1,if(and(QuotesCheckJudge = "segundo", QuotesCheckChallengeRecommendation2 &lt;&gt; ""), QuotesCheckAbstract2,"")))</f>
        <v>Grade based how the students working their tasks and not only what they are submitting.</v>
      </c>
    </row>
    <row r="304">
      <c r="A304" s="22">
        <f>IFERROR(__xludf.DUMMYFUNCTION("if(or(QuotesCheckJudge="""",and(QuotesCheckJudge = ""primeiro"", QuotesCheckChallengeRecommendation1 &lt;&gt; """"),and(QuotesCheckJudge = ""segundo"", QuotesCheckChallengeRecommendation2 &lt;&gt; """")), filter('Quotes-Check'!A304:D304, 'Quotes-Check'!A304:D304&lt;&gt;""g"&amp;"lugluieie""),"""")"),8.0)</f>
        <v>8</v>
      </c>
      <c r="B304" s="22">
        <f>IFERROR(__xludf.DUMMYFUNCTION("""COMPUTED_VALUE"""),10.0)</f>
        <v>10</v>
      </c>
      <c r="C304" s="2" t="str">
        <f>IFERROR(__xludf.DUMMYFUNCTION("""COMPUTED_VALUE"""),"R1 / R3")</f>
        <v>R1 / R3</v>
      </c>
      <c r="D304" s="22" t="str">
        <f>IFERROR(__xludf.DUMMYFUNCTION("""COMPUTED_VALUE"""),"DevOps Concepts")</f>
        <v>DevOps Concepts</v>
      </c>
      <c r="E304" s="46" t="str">
        <f>IFERROR(__xludf.DUMMYFUNCTION("if(or(QuotesCheckJudge="""",and(QuotesCheckJudge = ""primeiro"", QuotesCheckChallengeRecommendation1 &lt;&gt; """")), filter('Quotes-Check'!E304:F304, 'Quotes-Check'!E304:F304&lt;&gt;""glugluieie""),if(and(QuotesCheckJudge = ""segundo"", QuotesCheckChallengeRecommend"&amp;"ation2 &lt;&gt; """"), filter('Quotes-Check'!I304:J304, 'Quotes-Check'!I304:J304&lt;&gt;""glugluieie""),""""))"),"recommendation")</f>
        <v>recommendation</v>
      </c>
      <c r="F304" s="22" t="str">
        <f>IFERROR(__xludf.DUMMYFUNCTION("""COMPUTED_VALUE"""),"it's tough to get the students to be more social if you will, in their coding practices and do pair programming, uh, and follow the, get feature branch workflow. ")</f>
        <v>it's tough to get the students to be more social if you will, in their coding practices and do pair programming, uh, and follow the, get feature branch workflow. </v>
      </c>
      <c r="G304" s="22" t="str">
        <f>if(QuotesCheckJudgeAbstract&lt;&gt;"",QuotesCheckJudgeAbstract,if(or(QuotesCheckJudge="",and(QuotesCheckJudge = "primeiro", QuotesCheckChallengeRecommendation1 &lt;&gt; "")), QuotesCheckAbstract1,if(and(QuotesCheckJudge = "segundo", QuotesCheckChallengeRecommendation2 &lt;&gt; ""), QuotesCheckAbstract2,"")))</f>
        <v>Get the students to be more social in their coding practices and do pair programming, and follow the get feature branch workflow. </v>
      </c>
    </row>
    <row r="305">
      <c r="A305" s="22">
        <f>IFERROR(__xludf.DUMMYFUNCTION("if(or(QuotesCheckJudge="""",and(QuotesCheckJudge = ""primeiro"", QuotesCheckChallengeRecommendation1 &lt;&gt; """"),and(QuotesCheckJudge = ""segundo"", QuotesCheckChallengeRecommendation2 &lt;&gt; """")), filter('Quotes-Check'!A305:D305, 'Quotes-Check'!A305:D305&lt;&gt;""g"&amp;"lugluieie""),"""")"),8.0)</f>
        <v>8</v>
      </c>
      <c r="B305" s="22">
        <f>IFERROR(__xludf.DUMMYFUNCTION("""COMPUTED_VALUE"""),10.0)</f>
        <v>10</v>
      </c>
      <c r="C305" s="2" t="str">
        <f>IFERROR(__xludf.DUMMYFUNCTION("""COMPUTED_VALUE"""),"R1 / R3")</f>
        <v>R1 / R3</v>
      </c>
      <c r="D305" s="22" t="str">
        <f>IFERROR(__xludf.DUMMYFUNCTION("""COMPUTED_VALUE"""),"DevOps Concepts")</f>
        <v>DevOps Concepts</v>
      </c>
      <c r="E305" s="46" t="str">
        <f>IFERROR(__xludf.DUMMYFUNCTION("if(or(QuotesCheckJudge="""",and(QuotesCheckJudge = ""primeiro"", QuotesCheckChallengeRecommendation1 &lt;&gt; """")), filter('Quotes-Check'!E305:F305, 'Quotes-Check'!E305:F305&lt;&gt;""glugluieie""),if(and(QuotesCheckJudge = ""segundo"", QuotesCheckChallengeRecommend"&amp;"ation2 &lt;&gt; """"), filter('Quotes-Check'!I305:J305, 'Quotes-Check'!I305:J305&lt;&gt;""glugluieie""),""""))"),"challenge")</f>
        <v>challenge</v>
      </c>
      <c r="F305" s="22" t="str">
        <f>IFERROR(__xludf.DUMMYFUNCTION("""COMPUTED_VALUE"""),"that's kind of challenging getting them to be agile, getting them to think agile, get into think minimum viable product, right.")</f>
        <v>that's kind of challenging getting them to be agile, getting them to think agile, get into think minimum viable product, right.</v>
      </c>
      <c r="G305" s="22" t="str">
        <f>if(QuotesCheckJudgeAbstract&lt;&gt;"",QuotesCheckJudgeAbstract,if(or(QuotesCheckJudge="",and(QuotesCheckJudge = "primeiro", QuotesCheckChallengeRecommendation1 &lt;&gt; "")), QuotesCheckAbstract1,if(and(QuotesCheckJudge = "segundo", QuotesCheckChallengeRecommendation2 &lt;&gt; ""), QuotesCheckAbstract2,"")))</f>
        <v>It's challenging for the students to be and to think agile into mininum viable product.</v>
      </c>
    </row>
    <row r="306">
      <c r="A306" s="22">
        <f>IFERROR(__xludf.DUMMYFUNCTION("if(or(QuotesCheckJudge="""",and(QuotesCheckJudge = ""primeiro"", QuotesCheckChallengeRecommendation1 &lt;&gt; """"),and(QuotesCheckJudge = ""segundo"", QuotesCheckChallengeRecommendation2 &lt;&gt; """")), filter('Quotes-Check'!A306:D306, 'Quotes-Check'!A306:D306&lt;&gt;""g"&amp;"lugluieie""),"""")"),8.0)</f>
        <v>8</v>
      </c>
      <c r="B306" s="22">
        <f>IFERROR(__xludf.DUMMYFUNCTION("""COMPUTED_VALUE"""),10.0)</f>
        <v>10</v>
      </c>
      <c r="C306" s="2" t="str">
        <f>IFERROR(__xludf.DUMMYFUNCTION("""COMPUTED_VALUE"""),"R1 / R3")</f>
        <v>R1 / R3</v>
      </c>
      <c r="D306" s="22" t="str">
        <f>IFERROR(__xludf.DUMMYFUNCTION("""COMPUTED_VALUE"""),"DevOps Concepts")</f>
        <v>DevOps Concepts</v>
      </c>
      <c r="E306" s="46" t="str">
        <f>IFERROR(__xludf.DUMMYFUNCTION("if(or(QuotesCheckJudge="""",and(QuotesCheckJudge = ""primeiro"", QuotesCheckChallengeRecommendation1 &lt;&gt; """")), filter('Quotes-Check'!E306:F306, 'Quotes-Check'!E306:F306&lt;&gt;""glugluieie""),if(and(QuotesCheckJudge = ""segundo"", QuotesCheckChallengeRecommend"&amp;"ation2 &lt;&gt; """"), filter('Quotes-Check'!I306:J306, 'Quotes-Check'!I306:J306&lt;&gt;""glugluieie""),""""))"),"challenge")</f>
        <v>challenge</v>
      </c>
      <c r="F306" s="22" t="str">
        <f>IFERROR(__xludf.DUMMYFUNCTION("""COMPUTED_VALUE"""),"are they following the process? Not, did they get the work done in the end? That's not the important part is did they learn the process and follow it? And did they learn from it? So that's, it's kind of challenging.")</f>
        <v>are they following the process? Not, did they get the work done in the end? That's not the important part is did they learn the process and follow it? And did they learn from it? So that's, it's kind of challenging.</v>
      </c>
      <c r="G306" s="22" t="str">
        <f>if(QuotesCheckJudgeAbstract&lt;&gt;"",QuotesCheckJudgeAbstract,if(or(QuotesCheckJudge="",and(QuotesCheckJudge = "primeiro", QuotesCheckChallengeRecommendation1 &lt;&gt; "")), QuotesCheckAbstract1,if(and(QuotesCheckJudge = "segundo", QuotesCheckChallengeRecommendation2 &lt;&gt; ""), QuotesCheckAbstract2,"")))</f>
        <v>It is challeging to verify if the students learn the devops process of working.</v>
      </c>
    </row>
    <row r="307">
      <c r="A307" s="22">
        <f>IFERROR(__xludf.DUMMYFUNCTION("if(or(QuotesCheckJudge="""",and(QuotesCheckJudge = ""primeiro"", QuotesCheckChallengeRecommendation1 &lt;&gt; """"),and(QuotesCheckJudge = ""segundo"", QuotesCheckChallengeRecommendation2 &lt;&gt; """")), filter('Quotes-Check'!A307:D307, 'Quotes-Check'!A307:D307&lt;&gt;""g"&amp;"lugluieie""),"""")"),8.0)</f>
        <v>8</v>
      </c>
      <c r="B307" s="22">
        <f>IFERROR(__xludf.DUMMYFUNCTION("""COMPUTED_VALUE"""),11.0)</f>
        <v>11</v>
      </c>
      <c r="C307" s="2" t="str">
        <f>IFERROR(__xludf.DUMMYFUNCTION("""COMPUTED_VALUE"""),"R1 / R2")</f>
        <v>R1 / R2</v>
      </c>
      <c r="D307" s="22" t="str">
        <f>IFERROR(__xludf.DUMMYFUNCTION("""COMPUTED_VALUE"""),"Class Preparation")</f>
        <v>Class Preparation</v>
      </c>
      <c r="E307" s="46" t="str">
        <f>IFERROR(__xludf.DUMMYFUNCTION("if(or(QuotesCheckJudge="""",and(QuotesCheckJudge = ""primeiro"", QuotesCheckChallengeRecommendation1 &lt;&gt; """")), filter('Quotes-Check'!E307:F307, 'Quotes-Check'!E307:F307&lt;&gt;""glugluieie""),if(and(QuotesCheckJudge = ""segundo"", QuotesCheckChallengeRecommend"&amp;"ation2 &lt;&gt; """"), filter('Quotes-Check'!I307:J307, 'Quotes-Check'!I307:J307&lt;&gt;""glugluieie""),""""))"),"recommendation")</f>
        <v>recommendation</v>
      </c>
      <c r="F307" s="22" t="str">
        <f>IFERROR(__xludf.DUMMYFUNCTION("""COMPUTED_VALUE"""),"I actually last semester I prepared something on Sunday. And when I got Wednesday, when we had the class and I went to the cloud, the cloud had changed. [...] we're pushing to the IBM cloud the other night and it said there's an, there's a new update avai"&amp;"lable for the tool. Uh, you know, version two, it may have breaking changes. And I said, timeout, nobody press, yes, everybody press no, because that's not the version I used on the weekend ")</f>
        <v>I actually last semester I prepared something on Sunday. And when I got Wednesday, when we had the class and I went to the cloud, the cloud had changed. [...] we're pushing to the IBM cloud the other night and it said there's an, there's a new update available for the tool. Uh, you know, version two, it may have breaking changes. And I said, timeout, nobody press, yes, everybody press no, because that's not the version I used on the weekend </v>
      </c>
      <c r="G307" s="22" t="str">
        <f>if(QuotesCheckJudgeAbstract&lt;&gt;"",QuotesCheckJudgeAbstract,if(or(QuotesCheckJudge="",and(QuotesCheckJudge = "primeiro", QuotesCheckChallengeRecommendation1 &lt;&gt; "")), QuotesCheckAbstract1,if(and(QuotesCheckJudge = "segundo", QuotesCheckChallengeRecommendation2 &lt;&gt; ""), QuotesCheckAbstract2,"")))</f>
        <v>Check if the the labs work well always before start the class.</v>
      </c>
    </row>
    <row r="308">
      <c r="A308" s="22">
        <f>IFERROR(__xludf.DUMMYFUNCTION("if(or(QuotesCheckJudge="""",and(QuotesCheckJudge = ""primeiro"", QuotesCheckChallengeRecommendation1 &lt;&gt; """"),and(QuotesCheckJudge = ""segundo"", QuotesCheckChallengeRecommendation2 &lt;&gt; """")), filter('Quotes-Check'!A308:D308, 'Quotes-Check'!A308:D308&lt;&gt;""g"&amp;"lugluieie""),"""")"),8.0)</f>
        <v>8</v>
      </c>
      <c r="B308" s="22">
        <f>IFERROR(__xludf.DUMMYFUNCTION("""COMPUTED_VALUE"""),11.0)</f>
        <v>11</v>
      </c>
      <c r="C308" s="2" t="str">
        <f>IFERROR(__xludf.DUMMYFUNCTION("""COMPUTED_VALUE"""),"R1 / R2")</f>
        <v>R1 / R2</v>
      </c>
      <c r="D308" s="22" t="str">
        <f>IFERROR(__xludf.DUMMYFUNCTION("""COMPUTED_VALUE"""),"Class Preparation")</f>
        <v>Class Preparation</v>
      </c>
      <c r="E308" s="46" t="str">
        <f>IFERROR(__xludf.DUMMYFUNCTION("if(or(QuotesCheckJudge="""",and(QuotesCheckJudge = ""primeiro"", QuotesCheckChallengeRecommendation1 &lt;&gt; """")), filter('Quotes-Check'!E308:F308, 'Quotes-Check'!E308:F308&lt;&gt;""glugluieie""),if(and(QuotesCheckJudge = ""segundo"", QuotesCheckChallengeRecommend"&amp;"ation2 &lt;&gt; """"), filter('Quotes-Check'!I308:J308, 'Quotes-Check'!I308:J308&lt;&gt;""glugluieie""),""""))"),"challenge")</f>
        <v>challenge</v>
      </c>
      <c r="F308" s="22" t="str">
        <f>IFERROR(__xludf.DUMMYFUNCTION("""COMPUTED_VALUE"""),"So the challenge for me is that the cloud is constantly evolving. And so every semester what I try to do in my class, in my labs, I have snapshots of screenshots and circles and arrows and, you know, click on this and move there. Um, and that changes cons"&amp;"tantly")</f>
        <v>So the challenge for me is that the cloud is constantly evolving. And so every semester what I try to do in my class, in my labs, I have snapshots of screenshots and circles and arrows and, you know, click on this and move there. Um, and that changes constantly</v>
      </c>
      <c r="G308" s="22" t="str">
        <f>if(QuotesCheckJudgeAbstract&lt;&gt;"",QuotesCheckJudgeAbstract,if(or(QuotesCheckJudge="",and(QuotesCheckJudge = "primeiro", QuotesCheckChallengeRecommendation1 &lt;&gt; "")), QuotesCheckAbstract1,if(and(QuotesCheckJudge = "segundo", QuotesCheckChallengeRecommendation2 &lt;&gt; ""), QuotesCheckAbstract2,"")))</f>
        <v>The cloud are constantly evolving and it breaks labs every semester.</v>
      </c>
    </row>
    <row r="309">
      <c r="A309" s="22">
        <f>IFERROR(__xludf.DUMMYFUNCTION("if(or(QuotesCheckJudge="""",and(QuotesCheckJudge = ""primeiro"", QuotesCheckChallengeRecommendation1 &lt;&gt; """"),and(QuotesCheckJudge = ""segundo"", QuotesCheckChallengeRecommendation2 &lt;&gt; """")), filter('Quotes-Check'!A309:D309, 'Quotes-Check'!A309:D309&lt;&gt;""g"&amp;"lugluieie""),"""")"),8.0)</f>
        <v>8</v>
      </c>
      <c r="B309" s="22">
        <f>IFERROR(__xludf.DUMMYFUNCTION("""COMPUTED_VALUE"""),12.0)</f>
        <v>12</v>
      </c>
      <c r="C309" s="2" t="str">
        <f>IFERROR(__xludf.DUMMYFUNCTION("""COMPUTED_VALUE"""),"R2 / R3")</f>
        <v>R2 / R3</v>
      </c>
      <c r="D309" s="22" t="str">
        <f>IFERROR(__xludf.DUMMYFUNCTION("""COMPUTED_VALUE"""),"Class Preparation")</f>
        <v>Class Preparation</v>
      </c>
      <c r="E309" s="46" t="str">
        <f>IFERROR(__xludf.DUMMYFUNCTION("if(or(QuotesCheckJudge="""",and(QuotesCheckJudge = ""primeiro"", QuotesCheckChallengeRecommendation1 &lt;&gt; """")), filter('Quotes-Check'!E309:F309, 'Quotes-Check'!E309:F309&lt;&gt;""glugluieie""),if(and(QuotesCheckJudge = ""segundo"", QuotesCheckChallengeRecommend"&amp;"ation2 &lt;&gt; """"), filter('Quotes-Check'!I309:J309, 'Quotes-Check'!I309:J309&lt;&gt;""glugluieie""),""""))"),"challenge")</f>
        <v>challenge</v>
      </c>
      <c r="F309" s="22" t="str">
        <f>IFERROR(__xludf.DUMMYFUNCTION("""COMPUTED_VALUE"""),"so there's a lot of preparation in making sure that the tools still work the way they should, that the cloud still works the way they should, um, that the code doesn't have vulnerabilities in it. And that you've got all the right versions of stuff. So tha"&amp;"t's a lot of, uh, preparation then of course, as I said, you know, new technologies, like when Kubernetes came around, you know, you have to add Kubernetes to the class, constantly adding new technologies to the class move.")</f>
        <v>so there's a lot of preparation in making sure that the tools still work the way they should, that the cloud still works the way they should, um, that the code doesn't have vulnerabilities in it. And that you've got all the right versions of stuff. So that's a lot of, uh, preparation then of course, as I said, you know, new technologies, like when Kubernetes came around, you know, you have to add Kubernetes to the class, constantly adding new technologies to the class move.</v>
      </c>
      <c r="G309" s="22" t="str">
        <f>if(QuotesCheckJudgeAbstract&lt;&gt;"",QuotesCheckJudgeAbstract,if(or(QuotesCheckJudge="",and(QuotesCheckJudge = "primeiro", QuotesCheckChallengeRecommendation1 &lt;&gt; "")), QuotesCheckAbstract1,if(and(QuotesCheckJudge = "segundo", QuotesCheckChallengeRecommendation2 &lt;&gt; ""), QuotesCheckAbstract2,"")))</f>
        <v>Lots of preparation to keep tools and environment working, secure and updated.</v>
      </c>
    </row>
    <row r="310">
      <c r="A310" s="22">
        <f>IFERROR(__xludf.DUMMYFUNCTION("if(or(QuotesCheckJudge="""",and(QuotesCheckJudge = ""primeiro"", QuotesCheckChallengeRecommendation1 &lt;&gt; """"),and(QuotesCheckJudge = ""segundo"", QuotesCheckChallengeRecommendation2 &lt;&gt; """")), filter('Quotes-Check'!A310:D310, 'Quotes-Check'!A310:D310&lt;&gt;""g"&amp;"lugluieie""),"""")"),8.0)</f>
        <v>8</v>
      </c>
      <c r="B310" s="22">
        <f>IFERROR(__xludf.DUMMYFUNCTION("""COMPUTED_VALUE"""),13.0)</f>
        <v>13</v>
      </c>
      <c r="C310" s="2" t="str">
        <f>IFERROR(__xludf.DUMMYFUNCTION("""COMPUTED_VALUE"""),"R1 / R3")</f>
        <v>R1 / R3</v>
      </c>
      <c r="D310" s="22" t="str">
        <f>IFERROR(__xludf.DUMMYFUNCTION("""COMPUTED_VALUE"""),"Pedagogy")</f>
        <v>Pedagogy</v>
      </c>
      <c r="E310" s="46" t="str">
        <f>IFERROR(__xludf.DUMMYFUNCTION("if(or(QuotesCheckJudge="""",and(QuotesCheckJudge = ""primeiro"", QuotesCheckChallengeRecommendation1 &lt;&gt; """")), filter('Quotes-Check'!E310:F310, 'Quotes-Check'!E310:F310&lt;&gt;""glugluieie""),if(and(QuotesCheckJudge = ""segundo"", QuotesCheckChallengeRecommend"&amp;"ation2 &lt;&gt; """"), filter('Quotes-Check'!I310:J310, 'Quotes-Check'!I310:J310&lt;&gt;""glugluieie""),""""))"),"recommendation")</f>
        <v>recommendation</v>
      </c>
      <c r="F310" s="22" t="str">
        <f>IFERROR(__xludf.DUMMYFUNCTION("""COMPUTED_VALUE"""),"because of the remote learning  [...] I've been teaching my classes on zoom.   ")</f>
        <v>because of the remote learning  [...] I've been teaching my classes on zoom.   </v>
      </c>
      <c r="G310" s="22" t="str">
        <f>if(QuotesCheckJudgeAbstract&lt;&gt;"",QuotesCheckJudgeAbstract,if(or(QuotesCheckJudge="",and(QuotesCheckJudge = "primeiro", QuotesCheckChallengeRecommendation1 &lt;&gt; "")), QuotesCheckAbstract1,if(and(QuotesCheckJudge = "segundo", QuotesCheckChallengeRecommendation2 &lt;&gt; ""), QuotesCheckAbstract2,"")))</f>
        <v>Use Zoom in remote learning scenario.</v>
      </c>
    </row>
    <row r="311">
      <c r="A311" s="22">
        <f>IFERROR(__xludf.DUMMYFUNCTION("if(or(QuotesCheckJudge="""",and(QuotesCheckJudge = ""primeiro"", QuotesCheckChallengeRecommendation1 &lt;&gt; """"),and(QuotesCheckJudge = ""segundo"", QuotesCheckChallengeRecommendation2 &lt;&gt; """")), filter('Quotes-Check'!A311:D311, 'Quotes-Check'!A311:D311&lt;&gt;""g"&amp;"lugluieie""),"""")"),8.0)</f>
        <v>8</v>
      </c>
      <c r="B311" s="22">
        <f>IFERROR(__xludf.DUMMYFUNCTION("""COMPUTED_VALUE"""),13.0)</f>
        <v>13</v>
      </c>
      <c r="C311" s="2" t="str">
        <f>IFERROR(__xludf.DUMMYFUNCTION("""COMPUTED_VALUE"""),"R1 / R3")</f>
        <v>R1 / R3</v>
      </c>
      <c r="D311" s="22" t="str">
        <f>IFERROR(__xludf.DUMMYFUNCTION("""COMPUTED_VALUE"""),"Pedagogy")</f>
        <v>Pedagogy</v>
      </c>
      <c r="E311" s="46" t="str">
        <f>IFERROR(__xludf.DUMMYFUNCTION("if(or(QuotesCheckJudge="""",and(QuotesCheckJudge = ""primeiro"", QuotesCheckChallengeRecommendation1 &lt;&gt; """")), filter('Quotes-Check'!E311:F311, 'Quotes-Check'!E311:F311&lt;&gt;""glugluieie""),if(and(QuotesCheckJudge = ""segundo"", QuotesCheckChallengeRecommend"&amp;"ation2 &lt;&gt; """"), filter('Quotes-Check'!I311:J311, 'Quotes-Check'!I311:J311&lt;&gt;""glugluieie""),""""))"),"challenge")</f>
        <v>challenge</v>
      </c>
      <c r="F311" s="22" t="str">
        <f>IFERROR(__xludf.DUMMYFUNCTION("""COMPUTED_VALUE""")," because of the remote learning [...] I've been teaching my classes on zoom. And so, uh, that makes it very hard to do hands-on because I can't see the students right. While I'm doing the hands-on. So I can't see the puzzled look on their face and say, ok"&amp;"ay, I just lost them.  ")</f>
        <v> because of the remote learning [...] I've been teaching my classes on zoom. And so, uh, that makes it very hard to do hands-on because I can't see the students right. While I'm doing the hands-on. So I can't see the puzzled look on their face and say, okay, I just lost them.  </v>
      </c>
      <c r="G311" s="22" t="str">
        <f>if(QuotesCheckJudgeAbstract&lt;&gt;"",QuotesCheckJudgeAbstract,if(or(QuotesCheckJudge="",and(QuotesCheckJudge = "primeiro", QuotesCheckChallengeRecommendation1 &lt;&gt; "")), QuotesCheckAbstract1,if(and(QuotesCheckJudge = "segundo", QuotesCheckChallengeRecommendation2 &lt;&gt; ""), QuotesCheckAbstract2,"")))</f>
        <v>It's hard to do hands-on on remote learning because the teacher can't see the students face.</v>
      </c>
    </row>
    <row r="312">
      <c r="A312" s="22">
        <f>IFERROR(__xludf.DUMMYFUNCTION("if(or(QuotesCheckJudge="""",and(QuotesCheckJudge = ""primeiro"", QuotesCheckChallengeRecommendation1 &lt;&gt; """"),and(QuotesCheckJudge = ""segundo"", QuotesCheckChallengeRecommendation2 &lt;&gt; """")), filter('Quotes-Check'!A312:D312, 'Quotes-Check'!A312:D312&lt;&gt;""g"&amp;"lugluieie""),"""")"),8.0)</f>
        <v>8</v>
      </c>
      <c r="B312" s="22">
        <f>IFERROR(__xludf.DUMMYFUNCTION("""COMPUTED_VALUE"""),13.0)</f>
        <v>13</v>
      </c>
      <c r="C312" s="2" t="str">
        <f>IFERROR(__xludf.DUMMYFUNCTION("""COMPUTED_VALUE"""),"R1 / R3")</f>
        <v>R1 / R3</v>
      </c>
      <c r="D312" s="22" t="str">
        <f>IFERROR(__xludf.DUMMYFUNCTION("""COMPUTED_VALUE"""),"Pedagogy")</f>
        <v>Pedagogy</v>
      </c>
      <c r="E312" s="46" t="str">
        <f>IFERROR(__xludf.DUMMYFUNCTION("if(or(QuotesCheckJudge="""",and(QuotesCheckJudge = ""primeiro"", QuotesCheckChallengeRecommendation1 &lt;&gt; """")), filter('Quotes-Check'!E312:F312, 'Quotes-Check'!E312:F312&lt;&gt;""glugluieie""),if(and(QuotesCheckJudge = ""segundo"", QuotesCheckChallengeRecommend"&amp;"ation2 &lt;&gt; """"), filter('Quotes-Check'!I312:J312, 'Quotes-Check'!I312:J312&lt;&gt;""glugluieie""),""""))"),"recommendation")</f>
        <v>recommendation</v>
      </c>
      <c r="F312" s="22" t="str">
        <f>IFERROR(__xludf.DUMMYFUNCTION("""COMPUTED_VALUE"""),"So without having, uh, physically having a technical assistance in the class and I do have TA's on with my zoom and they do help students over slack, uh, to get things going,")</f>
        <v>So without having, uh, physically having a technical assistance in the class and I do have TA's on with my zoom and they do help students over slack, uh, to get things going,</v>
      </c>
      <c r="G312" s="22" t="str">
        <f>if(QuotesCheckJudgeAbstract&lt;&gt;"",QuotesCheckJudgeAbstract,if(or(QuotesCheckJudge="",and(QuotesCheckJudge = "primeiro", QuotesCheckChallengeRecommendation1 &lt;&gt; "")), QuotesCheckAbstract1,if(and(QuotesCheckJudge = "segundo", QuotesCheckChallengeRecommendation2 &lt;&gt; ""), QuotesCheckAbstract2,"")))</f>
        <v>Teatcher assistence help students over slack managing questions.</v>
      </c>
    </row>
    <row r="313">
      <c r="A313" s="22">
        <f>IFERROR(__xludf.DUMMYFUNCTION("if(or(QuotesCheckJudge="""",and(QuotesCheckJudge = ""primeiro"", QuotesCheckChallengeRecommendation1 &lt;&gt; """"),and(QuotesCheckJudge = ""segundo"", QuotesCheckChallengeRecommendation2 &lt;&gt; """")), filter('Quotes-Check'!A313:D313, 'Quotes-Check'!A313:D313&lt;&gt;""g"&amp;"lugluieie""),"""")"),8.0)</f>
        <v>8</v>
      </c>
      <c r="B313" s="22">
        <f>IFERROR(__xludf.DUMMYFUNCTION("""COMPUTED_VALUE"""),13.0)</f>
        <v>13</v>
      </c>
      <c r="C313" s="2" t="str">
        <f>IFERROR(__xludf.DUMMYFUNCTION("""COMPUTED_VALUE"""),"R1 / R3")</f>
        <v>R1 / R3</v>
      </c>
      <c r="D313" s="22" t="str">
        <f>IFERROR(__xludf.DUMMYFUNCTION("""COMPUTED_VALUE"""),"Pedagogy")</f>
        <v>Pedagogy</v>
      </c>
      <c r="E313" s="46" t="str">
        <f>IFERROR(__xludf.DUMMYFUNCTION("if(or(QuotesCheckJudge="""",and(QuotesCheckJudge = ""primeiro"", QuotesCheckChallengeRecommendation1 &lt;&gt; """")), filter('Quotes-Check'!E313:F313, 'Quotes-Check'!E313:F313&lt;&gt;""glugluieie""),if(and(QuotesCheckJudge = ""segundo"", QuotesCheckChallengeRecommend"&amp;"ation2 &lt;&gt; """"), filter('Quotes-Check'!I313:J313, 'Quotes-Check'!I313:J313&lt;&gt;""glugluieie""),""""))"),"challenge")</f>
        <v>challenge</v>
      </c>
      <c r="F313" s="22" t="str">
        <f>IFERROR(__xludf.DUMMYFUNCTION("""COMPUTED_VALUE"""),"doing a hands-on class with that many (45) students is just physically challenging.")</f>
        <v>doing a hands-on class with that many (45) students is just physically challenging.</v>
      </c>
      <c r="G313" s="22" t="str">
        <f>if(QuotesCheckJudgeAbstract&lt;&gt;"",QuotesCheckJudgeAbstract,if(or(QuotesCheckJudge="",and(QuotesCheckJudge = "primeiro", QuotesCheckChallengeRecommendation1 &lt;&gt; "")), QuotesCheckAbstract1,if(and(QuotesCheckJudge = "segundo", QuotesCheckChallengeRecommendation2 &lt;&gt; ""), QuotesCheckAbstract2,"")))</f>
        <v>Doing a hands-on class with that many (45) students is just physically challenging.</v>
      </c>
    </row>
    <row r="314">
      <c r="A314" s="22">
        <f>IFERROR(__xludf.DUMMYFUNCTION("if(or(QuotesCheckJudge="""",and(QuotesCheckJudge = ""primeiro"", QuotesCheckChallengeRecommendation1 &lt;&gt; """"),and(QuotesCheckJudge = ""segundo"", QuotesCheckChallengeRecommendation2 &lt;&gt; """")), filter('Quotes-Check'!A314:D314, 'Quotes-Check'!A314:D314&lt;&gt;""g"&amp;"lugluieie""),"""")"),8.0)</f>
        <v>8</v>
      </c>
      <c r="B314" s="22">
        <f>IFERROR(__xludf.DUMMYFUNCTION("""COMPUTED_VALUE"""),14.0)</f>
        <v>14</v>
      </c>
      <c r="C314" s="2" t="str">
        <f>IFERROR(__xludf.DUMMYFUNCTION("""COMPUTED_VALUE"""),"R1 / R3")</f>
        <v>R1 / R3</v>
      </c>
      <c r="D314" s="22" t="str">
        <f>IFERROR(__xludf.DUMMYFUNCTION("""COMPUTED_VALUE"""),"Assessment")</f>
        <v>Assessment</v>
      </c>
      <c r="E314" s="46" t="str">
        <f>IFERROR(__xludf.DUMMYFUNCTION("if(or(QuotesCheckJudge="""",and(QuotesCheckJudge = ""primeiro"", QuotesCheckChallengeRecommendation1 &lt;&gt; """")), filter('Quotes-Check'!E314:F314, 'Quotes-Check'!E314:F314&lt;&gt;""glugluieie""),if(and(QuotesCheckJudge = ""segundo"", QuotesCheckChallengeRecommend"&amp;"ation2 &lt;&gt; """"), filter('Quotes-Check'!I314:J314, 'Quotes-Check'!I314:J314&lt;&gt;""glugluieie""),""""))"),"recommendation")</f>
        <v>recommendation</v>
      </c>
      <c r="F314" s="22" t="str">
        <f>IFERROR(__xludf.DUMMYFUNCTION("""COMPUTED_VALUE"""),"Then I give them two exams. So the team is 40% of their grade. The exams are 60% a midterm that's 30 and a, and a final that's 30.")</f>
        <v>Then I give them two exams. So the team is 40% of their grade. The exams are 60% a midterm that's 30 and a, and a final that's 30.</v>
      </c>
      <c r="G314" s="22" t="str">
        <f>if(QuotesCheckJudgeAbstract&lt;&gt;"",QuotesCheckJudgeAbstract,if(or(QuotesCheckJudge="",and(QuotesCheckJudge = "primeiro", QuotesCheckChallengeRecommendation1 &lt;&gt; "")), QuotesCheckAbstract1,if(and(QuotesCheckJudge = "segundo", QuotesCheckChallengeRecommendation2 &lt;&gt; ""), QuotesCheckAbstract2,"")))</f>
        <v>So the team is 40% of their grade. The exams are 60% a midterm that's 30 and a, and a final that's 30.</v>
      </c>
    </row>
    <row r="315">
      <c r="A315" s="22">
        <f>IFERROR(__xludf.DUMMYFUNCTION("if(or(QuotesCheckJudge="""",and(QuotesCheckJudge = ""primeiro"", QuotesCheckChallengeRecommendation1 &lt;&gt; """"),and(QuotesCheckJudge = ""segundo"", QuotesCheckChallengeRecommendation2 &lt;&gt; """")), filter('Quotes-Check'!A315:D315, 'Quotes-Check'!A315:D315&lt;&gt;""g"&amp;"lugluieie""),"""")"),8.0)</f>
        <v>8</v>
      </c>
      <c r="B315" s="22">
        <f>IFERROR(__xludf.DUMMYFUNCTION("""COMPUTED_VALUE"""),14.0)</f>
        <v>14</v>
      </c>
      <c r="C315" s="2" t="str">
        <f>IFERROR(__xludf.DUMMYFUNCTION("""COMPUTED_VALUE"""),"R1 / R3")</f>
        <v>R1 / R3</v>
      </c>
      <c r="D315" s="22" t="str">
        <f>IFERROR(__xludf.DUMMYFUNCTION("""COMPUTED_VALUE"""),"Assessment")</f>
        <v>Assessment</v>
      </c>
      <c r="E315" s="46" t="str">
        <f>IFERROR(__xludf.DUMMYFUNCTION("if(or(QuotesCheckJudge="""",and(QuotesCheckJudge = ""primeiro"", QuotesCheckChallengeRecommendation1 &lt;&gt; """")), filter('Quotes-Check'!E315:F315, 'Quotes-Check'!E315:F315&lt;&gt;""glugluieie""),if(and(QuotesCheckJudge = ""segundo"", QuotesCheckChallengeRecommend"&amp;"ation2 &lt;&gt; """"), filter('Quotes-Check'!I315:J315, 'Quotes-Check'!I315:J315&lt;&gt;""glugluieie""),""""))"),"recommendation")</f>
        <v>recommendation</v>
      </c>
      <c r="F315" s="22" t="str">
        <f>IFERROR(__xludf.DUMMYFUNCTION("""COMPUTED_VALUE"""),"I try to get the student more engaged.... If they're not having fun, then we're, we're doing it wrong. So, so I'm making sure they're having fun.")</f>
        <v>I try to get the student more engaged.... If they're not having fun, then we're, we're doing it wrong. So, so I'm making sure they're having fun.</v>
      </c>
      <c r="G315" s="22" t="str">
        <f>if(QuotesCheckJudgeAbstract&lt;&gt;"",QuotesCheckJudgeAbstract,if(or(QuotesCheckJudge="",and(QuotesCheckJudge = "primeiro", QuotesCheckChallengeRecommendation1 &lt;&gt; "")), QuotesCheckAbstract1,if(and(QuotesCheckJudge = "segundo", QuotesCheckChallengeRecommendation2 &lt;&gt; ""), QuotesCheckAbstract2,"")))</f>
        <v>Try to get the student having fun in order to keep them engaged.</v>
      </c>
    </row>
    <row r="316">
      <c r="A316" s="22">
        <f>IFERROR(__xludf.DUMMYFUNCTION("if(or(QuotesCheckJudge="""",and(QuotesCheckJudge = ""primeiro"", QuotesCheckChallengeRecommendation1 &lt;&gt; """"),and(QuotesCheckJudge = ""segundo"", QuotesCheckChallengeRecommendation2 &lt;&gt; """")), filter('Quotes-Check'!A316:D316, 'Quotes-Check'!A316:D316&lt;&gt;""g"&amp;"lugluieie""),"""")"),8.0)</f>
        <v>8</v>
      </c>
      <c r="B316" s="22">
        <f>IFERROR(__xludf.DUMMYFUNCTION("""COMPUTED_VALUE"""),14.0)</f>
        <v>14</v>
      </c>
      <c r="C316" s="2" t="str">
        <f>IFERROR(__xludf.DUMMYFUNCTION("""COMPUTED_VALUE"""),"R1 / R3")</f>
        <v>R1 / R3</v>
      </c>
      <c r="D316" s="22" t="str">
        <f>IFERROR(__xludf.DUMMYFUNCTION("""COMPUTED_VALUE"""),"Assessment")</f>
        <v>Assessment</v>
      </c>
      <c r="E316" s="46" t="str">
        <f>IFERROR(__xludf.DUMMYFUNCTION("if(or(QuotesCheckJudge="""",and(QuotesCheckJudge = ""primeiro"", QuotesCheckChallengeRecommendation1 &lt;&gt; """")), filter('Quotes-Check'!E316:F316, 'Quotes-Check'!E316:F316&lt;&gt;""glugluieie""),if(and(QuotesCheckJudge = ""segundo"", QuotesCheckChallengeRecommend"&amp;"ation2 &lt;&gt; """"), filter('Quotes-Check'!I316:J316, 'Quotes-Check'!I316:J316&lt;&gt;""glugluieie""),""""))"),"recommendation")</f>
        <v>recommendation</v>
      </c>
      <c r="F316" s="22" t="str">
        <f>IFERROR(__xludf.DUMMYFUNCTION("""COMPUTED_VALUE""")," I don't give quizzes because I'm grading them every day, watching their Kanban boards, seeing how they're working, interacting with them on slack. ")</f>
        <v> I don't give quizzes because I'm grading them every day, watching their Kanban boards, seeing how they're working, interacting with them on slack. </v>
      </c>
      <c r="G316" s="22" t="str">
        <f>if(QuotesCheckJudgeAbstract&lt;&gt;"",QuotesCheckJudgeAbstract,if(or(QuotesCheckJudge="",and(QuotesCheckJudge = "primeiro", QuotesCheckChallengeRecommendation1 &lt;&gt; "")), QuotesCheckAbstract1,if(and(QuotesCheckJudge = "segundo", QuotesCheckChallengeRecommendation2 &lt;&gt; ""), QuotesCheckAbstract2,"")))</f>
        <v>You don't need quizzes if you grade the students continuously watching their Kanban boards.</v>
      </c>
    </row>
    <row r="317">
      <c r="A317" s="22">
        <f>IFERROR(__xludf.DUMMYFUNCTION("if(or(QuotesCheckJudge="""",and(QuotesCheckJudge = ""primeiro"", QuotesCheckChallengeRecommendation1 &lt;&gt; """"),and(QuotesCheckJudge = ""segundo"", QuotesCheckChallengeRecommendation2 &lt;&gt; """")), filter('Quotes-Check'!A317:D317, 'Quotes-Check'!A317:D317&lt;&gt;""g"&amp;"lugluieie""),"""")"),8.0)</f>
        <v>8</v>
      </c>
      <c r="B317" s="22">
        <f>IFERROR(__xludf.DUMMYFUNCTION("""COMPUTED_VALUE"""),14.0)</f>
        <v>14</v>
      </c>
      <c r="C317" s="2" t="str">
        <f>IFERROR(__xludf.DUMMYFUNCTION("""COMPUTED_VALUE"""),"R1 / R3")</f>
        <v>R1 / R3</v>
      </c>
      <c r="D317" s="22" t="str">
        <f>IFERROR(__xludf.DUMMYFUNCTION("""COMPUTED_VALUE"""),"Assessment")</f>
        <v>Assessment</v>
      </c>
      <c r="E317" s="46" t="str">
        <f>IFERROR(__xludf.DUMMYFUNCTION("if(or(QuotesCheckJudge="""",and(QuotesCheckJudge = ""primeiro"", QuotesCheckChallengeRecommendation1 &lt;&gt; """")), filter('Quotes-Check'!E317:F317, 'Quotes-Check'!E317:F317&lt;&gt;""glugluieie""),if(and(QuotesCheckJudge = ""segundo"", QuotesCheckChallengeRecommend"&amp;"ation2 &lt;&gt; """"), filter('Quotes-Check'!I317:J317, 'Quotes-Check'!I317:J317&lt;&gt;""glugluieie""),""""))"),"recommendation")</f>
        <v>recommendation</v>
      </c>
      <c r="F317" s="22" t="str">
        <f>IFERROR(__xludf.DUMMYFUNCTION("""COMPUTED_VALUE""")," in that assessment, you know, that they're, um, there are 50 multiple choice questions in each exam, no partial credit. Um, and, and so, and I give, and it's an hour, uh, you know, to go do that exam. ...  we're remote now..")</f>
        <v> in that assessment, you know, that they're, um, there are 50 multiple choice questions in each exam, no partial credit. Um, and, and so, and I give, and it's an hour, uh, you know, to go do that exam. ...  we're remote now..</v>
      </c>
      <c r="G317" s="22" t="str">
        <f>if(QuotesCheckJudgeAbstract&lt;&gt;"",QuotesCheckJudgeAbstract,if(or(QuotesCheckJudge="",and(QuotesCheckJudge = "primeiro", QuotesCheckChallengeRecommendation1 &lt;&gt; "")), QuotesCheckAbstract1,if(and(QuotesCheckJudge = "segundo", QuotesCheckChallengeRecommendation2 &lt;&gt; ""), QuotesCheckAbstract2,"")))</f>
        <v>50 multiple choice questions in one hour each exam if you are remote.</v>
      </c>
    </row>
    <row r="318">
      <c r="A318" s="22">
        <f>IFERROR(__xludf.DUMMYFUNCTION("if(or(QuotesCheckJudge="""",and(QuotesCheckJudge = ""primeiro"", QuotesCheckChallengeRecommendation1 &lt;&gt; """"),and(QuotesCheckJudge = ""segundo"", QuotesCheckChallengeRecommendation2 &lt;&gt; """")), filter('Quotes-Check'!A318:D318, 'Quotes-Check'!A318:D318&lt;&gt;""g"&amp;"lugluieie""),"""")"),8.0)</f>
        <v>8</v>
      </c>
      <c r="B318" s="22">
        <f>IFERROR(__xludf.DUMMYFUNCTION("""COMPUTED_VALUE"""),15.0)</f>
        <v>15</v>
      </c>
      <c r="C318" s="2" t="str">
        <f>IFERROR(__xludf.DUMMYFUNCTION("""COMPUTED_VALUE"""),"R1 / R3")</f>
        <v>R1 / R3</v>
      </c>
      <c r="D318" s="22" t="str">
        <f>IFERROR(__xludf.DUMMYFUNCTION("""COMPUTED_VALUE"""),"Assessment")</f>
        <v>Assessment</v>
      </c>
      <c r="E318" s="46" t="str">
        <f>IFERROR(__xludf.DUMMYFUNCTION("if(or(QuotesCheckJudge="""",and(QuotesCheckJudge = ""primeiro"", QuotesCheckChallengeRecommendation1 &lt;&gt; """")), filter('Quotes-Check'!E318:F318, 'Quotes-Check'!E318:F318&lt;&gt;""glugluieie""),if(and(QuotesCheckJudge = ""segundo"", QuotesCheckChallengeRecommend"&amp;"ation2 &lt;&gt; """"), filter('Quotes-Check'!I318:J318, 'Quotes-Check'!I318:J318&lt;&gt;""glugluieie""),""""))"),"recommendation")</f>
        <v>recommendation</v>
      </c>
      <c r="F318" s="22" t="str">
        <f>IFERROR(__xludf.DUMMYFUNCTION("""COMPUTED_VALUE"""),"the exams are open book, right? I, I, when I'm in the classroom, they're not open book, but for, for the remote learning, they have to be open book. I just can't enforce it. ")</f>
        <v>the exams are open book, right? I, I, when I'm in the classroom, they're not open book, but for, for the remote learning, they have to be open book. I just can't enforce it. </v>
      </c>
      <c r="G318" s="22" t="str">
        <f>if(QuotesCheckJudgeAbstract&lt;&gt;"",QuotesCheckJudgeAbstract,if(or(QuotesCheckJudge="",and(QuotesCheckJudge = "primeiro", QuotesCheckChallengeRecommendation1 &lt;&gt; "")), QuotesCheckAbstract1,if(and(QuotesCheckJudge = "segundo", QuotesCheckChallengeRecommendation2 &lt;&gt; ""), QuotesCheckAbstract2,"")))</f>
        <v>Exams in remote class format are with the open book.</v>
      </c>
    </row>
    <row r="319">
      <c r="A319" s="22">
        <f>IFERROR(__xludf.DUMMYFUNCTION("if(or(QuotesCheckJudge="""",and(QuotesCheckJudge = ""primeiro"", QuotesCheckChallengeRecommendation1 &lt;&gt; """"),and(QuotesCheckJudge = ""segundo"", QuotesCheckChallengeRecommendation2 &lt;&gt; """")), filter('Quotes-Check'!A319:D319, 'Quotes-Check'!A319:D319&lt;&gt;""g"&amp;"lugluieie""),"""")"),8.0)</f>
        <v>8</v>
      </c>
      <c r="B319" s="22">
        <f>IFERROR(__xludf.DUMMYFUNCTION("""COMPUTED_VALUE"""),15.0)</f>
        <v>15</v>
      </c>
      <c r="C319" s="2" t="str">
        <f>IFERROR(__xludf.DUMMYFUNCTION("""COMPUTED_VALUE"""),"R1 / R3")</f>
        <v>R1 / R3</v>
      </c>
      <c r="D319" s="22" t="str">
        <f>IFERROR(__xludf.DUMMYFUNCTION("""COMPUTED_VALUE"""),"Assessment")</f>
        <v>Assessment</v>
      </c>
      <c r="E319" s="46" t="str">
        <f>IFERROR(__xludf.DUMMYFUNCTION("if(or(QuotesCheckJudge="""",and(QuotesCheckJudge = ""primeiro"", QuotesCheckChallengeRecommendation1 &lt;&gt; """")), filter('Quotes-Check'!E319:F319, 'Quotes-Check'!E319:F319&lt;&gt;""glugluieie""),if(and(QuotesCheckJudge = ""segundo"", QuotesCheckChallengeRecommend"&amp;"ation2 &lt;&gt; """"), filter('Quotes-Check'!I319:J319, 'Quotes-Check'!I319:J319&lt;&gt;""glugluieie""),""""))"),"recommendation")</f>
        <v>recommendation</v>
      </c>
      <c r="F319" s="22" t="str">
        <f>IFERROR(__xludf.DUMMYFUNCTION("""COMPUTED_VALUE"""),"for the assessment, as I said, I give them a lot of leeway in the beginning. Um, they can make mistakes on their Kanban board and still get full credit if they know what the mistakes are that they made. However, in later sprints, if they make the same mis"&amp;"takes, then I start taking points off.  So I give them time to learn, uh, so that they feel that they can make a few mistakes, take a few risks, um, and not get penalized for it. 
")</f>
        <v>for the assessment, as I said, I give them a lot of leeway in the beginning. Um, they can make mistakes on their Kanban board and still get full credit if they know what the mistakes are that they made. However, in later sprints, if they make the same mistakes, then I start taking points off.  So I give them time to learn, uh, so that they feel that they can make a few mistakes, take a few risks, um, and not get penalized for it. 
</v>
      </c>
      <c r="G319" s="22" t="str">
        <f>if(QuotesCheckJudgeAbstract&lt;&gt;"",QuotesCheckJudgeAbstract,if(or(QuotesCheckJudge="",and(QuotesCheckJudge = "primeiro", QuotesCheckChallengeRecommendation1 &lt;&gt; "")), QuotesCheckAbstract1,if(and(QuotesCheckJudge = "segundo", QuotesCheckChallengeRecommendation2 &lt;&gt; ""), QuotesCheckAbstract2,"")))</f>
        <v>For the assessment, the students can make mistakes in the beginning without fear of being penalized.</v>
      </c>
    </row>
    <row r="320">
      <c r="A320" s="22">
        <f>IFERROR(__xludf.DUMMYFUNCTION("if(or(QuotesCheckJudge="""",and(QuotesCheckJudge = ""primeiro"", QuotesCheckChallengeRecommendation1 &lt;&gt; """"),and(QuotesCheckJudge = ""segundo"", QuotesCheckChallengeRecommendation2 &lt;&gt; """")), filter('Quotes-Check'!A320:D320, 'Quotes-Check'!A320:D320&lt;&gt;""g"&amp;"lugluieie""),"""")"),8.0)</f>
        <v>8</v>
      </c>
      <c r="B320" s="22">
        <f>IFERROR(__xludf.DUMMYFUNCTION("""COMPUTED_VALUE"""),15.0)</f>
        <v>15</v>
      </c>
      <c r="C320" s="2" t="str">
        <f>IFERROR(__xludf.DUMMYFUNCTION("""COMPUTED_VALUE"""),"R1 / R3")</f>
        <v>R1 / R3</v>
      </c>
      <c r="D320" s="22" t="str">
        <f>IFERROR(__xludf.DUMMYFUNCTION("""COMPUTED_VALUE"""),"Assessment")</f>
        <v>Assessment</v>
      </c>
      <c r="E320" s="46" t="str">
        <f>IFERROR(__xludf.DUMMYFUNCTION("if(or(QuotesCheckJudge="""",and(QuotesCheckJudge = ""primeiro"", QuotesCheckChallengeRecommendation1 &lt;&gt; """")), filter('Quotes-Check'!E320:F320, 'Quotes-Check'!E320:F320&lt;&gt;""glugluieie""),if(and(QuotesCheckJudge = ""segundo"", QuotesCheckChallengeRecommend"&amp;"ation2 &lt;&gt; """"), filter('Quotes-Check'!I320:J320, 'Quotes-Check'!I320:J320&lt;&gt;""glugluieie""),""""))"),"recommendation")</f>
        <v>recommendation</v>
      </c>
      <c r="F320" s="22" t="str">
        <f>IFERROR(__xludf.DUMMYFUNCTION("""COMPUTED_VALUE""")," And the final exam, I keep, I keep the questions mostly conceptual, right. Because let's face it. If you understand the concepts, you can Google the details, right. But you don't know the concepts, you don't know what the Google, right. ... I do put some"&amp;" questions in that they would have only learned had they participated in the project.")</f>
        <v> And the final exam, I keep, I keep the questions mostly conceptual, right. Because let's face it. If you understand the concepts, you can Google the details, right. But you don't know the concepts, you don't know what the Google, right. ... I do put some questions in that they would have only learned had they participated in the project.</v>
      </c>
      <c r="G320" s="22" t="str">
        <f>if(QuotesCheckJudgeAbstract&lt;&gt;"",QuotesCheckJudgeAbstract,if(or(QuotesCheckJudge="",and(QuotesCheckJudge = "primeiro", QuotesCheckChallengeRecommendation1 &lt;&gt; "")), QuotesCheckAbstract1,if(and(QuotesCheckJudge = "segundo", QuotesCheckChallengeRecommendation2 &lt;&gt; ""), QuotesCheckAbstract2,"")))</f>
        <v>Keep the questions mostly conceptual in the final exam. And questions about participation in the project.</v>
      </c>
    </row>
    <row r="321">
      <c r="A321" s="22">
        <f>IFERROR(__xludf.DUMMYFUNCTION("if(or(QuotesCheckJudge="""",and(QuotesCheckJudge = ""primeiro"", QuotesCheckChallengeRecommendation1 &lt;&gt; """"),and(QuotesCheckJudge = ""segundo"", QuotesCheckChallengeRecommendation2 &lt;&gt; """")), filter('Quotes-Check'!A321:D321, 'Quotes-Check'!A321:D321&lt;&gt;""g"&amp;"lugluieie""),"""")"),8.0)</f>
        <v>8</v>
      </c>
      <c r="B321" s="22">
        <f>IFERROR(__xludf.DUMMYFUNCTION("""COMPUTED_VALUE"""),16.0)</f>
        <v>16</v>
      </c>
      <c r="C321" s="2" t="str">
        <f>IFERROR(__xludf.DUMMYFUNCTION("""COMPUTED_VALUE"""),"R1 / R2")</f>
        <v>R1 / R2</v>
      </c>
      <c r="D321" s="22" t="str">
        <f>IFERROR(__xludf.DUMMYFUNCTION("""COMPUTED_VALUE"""),"Curriculum")</f>
        <v>Curriculum</v>
      </c>
      <c r="E321" s="46" t="str">
        <f>IFERROR(__xludf.DUMMYFUNCTION("if(or(QuotesCheckJudge="""",and(QuotesCheckJudge = ""primeiro"", QuotesCheckChallengeRecommendation1 &lt;&gt; """")), filter('Quotes-Check'!E321:F321, 'Quotes-Check'!E321:F321&lt;&gt;""glugluieie""),if(and(QuotesCheckJudge = ""segundo"", QuotesCheckChallengeRecommend"&amp;"ation2 &lt;&gt; """"), filter('Quotes-Check'!I321:J321, 'Quotes-Check'!I321:J321&lt;&gt;""glugluieie""),""""))"),"challenge")</f>
        <v>challenge</v>
      </c>
      <c r="F321" s="22" t="str">
        <f>IFERROR(__xludf.DUMMYFUNCTION("""COMPUTED_VALUE"""),"my biggest challenge is that my course should be two semesters because it's just too much stuff to fit in one semester. [...] the challenge there is I had to put together a curriculum that had, um, a little bit about everything. [...] So it's challenging "&amp;"fitting all that stuff into one semester.")</f>
        <v>my biggest challenge is that my course should be two semesters because it's just too much stuff to fit in one semester. [...] the challenge there is I had to put together a curriculum that had, um, a little bit about everything. [...] So it's challenging fitting all that stuff into one semester.</v>
      </c>
      <c r="G321" s="22" t="str">
        <f>if(QuotesCheckJudgeAbstract&lt;&gt;"",QuotesCheckJudgeAbstract,if(or(QuotesCheckJudge="",and(QuotesCheckJudge = "primeiro", QuotesCheckChallengeRecommendation1 &lt;&gt; "")), QuotesCheckAbstract1,if(and(QuotesCheckJudge = "segundo", QuotesCheckChallengeRecommendation2 &lt;&gt; ""), QuotesCheckAbstract2,"")))</f>
        <v>DevOps has too much contents and it's hard to fit it in a semester.</v>
      </c>
    </row>
    <row r="322">
      <c r="A322" s="22">
        <f>IFERROR(__xludf.DUMMYFUNCTION("if(or(QuotesCheckJudge="""",and(QuotesCheckJudge = ""primeiro"", QuotesCheckChallengeRecommendation1 &lt;&gt; """"),and(QuotesCheckJudge = ""segundo"", QuotesCheckChallengeRecommendation2 &lt;&gt; """")), filter('Quotes-Check'!A322:D322, 'Quotes-Check'!A322:D322&lt;&gt;""g"&amp;"lugluieie""),"""")"),8.0)</f>
        <v>8</v>
      </c>
      <c r="B322" s="22">
        <f>IFERROR(__xludf.DUMMYFUNCTION("""COMPUTED_VALUE"""),16.0)</f>
        <v>16</v>
      </c>
      <c r="C322" s="2" t="str">
        <f>IFERROR(__xludf.DUMMYFUNCTION("""COMPUTED_VALUE"""),"R1 / R2")</f>
        <v>R1 / R2</v>
      </c>
      <c r="D322" s="22" t="str">
        <f>IFERROR(__xludf.DUMMYFUNCTION("""COMPUTED_VALUE"""),"Curriculum")</f>
        <v>Curriculum</v>
      </c>
      <c r="E322" s="46" t="str">
        <f>IFERROR(__xludf.DUMMYFUNCTION("if(or(QuotesCheckJudge="""",and(QuotesCheckJudge = ""primeiro"", QuotesCheckChallengeRecommendation1 &lt;&gt; """")), filter('Quotes-Check'!E322:F322, 'Quotes-Check'!E322:F322&lt;&gt;""glugluieie""),if(and(QuotesCheckJudge = ""segundo"", QuotesCheckChallengeRecommend"&amp;"ation2 &lt;&gt; """"), filter('Quotes-Check'!I322:J322, 'Quotes-Check'!I322:J322&lt;&gt;""glugluieie""),""""))"),"challenge")</f>
        <v>challenge</v>
      </c>
      <c r="F322" s="22" t="str">
        <f>IFERROR(__xludf.DUMMYFUNCTION("""COMPUTED_VALUE"""),"   There's lots and lots of information, which is why I give them lots of support during the week on slack. Um, but there's lots of information to cover. And because it's so challenging, I don't get to cover a lot of once you deploy it, how do you monitor"&amp;" it? Uh, right. And, and, and how do you, how do you, you know, go through the logs? And I mean, we do a little bit of looking at the logs when we deploy it to figure out if it's working, but I don't do a lot of the ops side of DevOps.")</f>
        <v>   There's lots and lots of information, which is why I give them lots of support during the week on slack. Um, but there's lots of information to cover. And because it's so challenging, I don't get to cover a lot of once you deploy it, how do you monitor it? Uh, right. And, and, and how do you, how do you, you know, go through the logs? And I mean, we do a little bit of looking at the logs when we deploy it to figure out if it's working, but I don't do a lot of the ops side of DevOps.</v>
      </c>
      <c r="G322" s="22" t="str">
        <f>if(QuotesCheckJudgeAbstract&lt;&gt;"",QuotesCheckJudgeAbstract,if(or(QuotesCheckJudge="",and(QuotesCheckJudge = "primeiro", QuotesCheckChallengeRecommendation1 &lt;&gt; "")), QuotesCheckAbstract1,if(and(QuotesCheckJudge = "segundo", QuotesCheckChallengeRecommendation2 &lt;&gt; ""), QuotesCheckAbstract2,"")))</f>
        <v>No time to teach operations side.</v>
      </c>
    </row>
    <row r="323">
      <c r="A323" s="22">
        <f>IFERROR(__xludf.DUMMYFUNCTION("if(or(QuotesCheckJudge="""",and(QuotesCheckJudge = ""primeiro"", QuotesCheckChallengeRecommendation1 &lt;&gt; """"),and(QuotesCheckJudge = ""segundo"", QuotesCheckChallengeRecommendation2 &lt;&gt; """")), filter('Quotes-Check'!A323:D323, 'Quotes-Check'!A323:D323&lt;&gt;""g"&amp;"lugluieie""),"""")"),8.0)</f>
        <v>8</v>
      </c>
      <c r="B323" s="22">
        <f>IFERROR(__xludf.DUMMYFUNCTION("""COMPUTED_VALUE"""),17.0)</f>
        <v>17</v>
      </c>
      <c r="C323" s="2" t="str">
        <f>IFERROR(__xludf.DUMMYFUNCTION("""COMPUTED_VALUE"""),"R2 / R3")</f>
        <v>R2 / R3</v>
      </c>
      <c r="D323" s="22" t="str">
        <f>IFERROR(__xludf.DUMMYFUNCTION("""COMPUTED_VALUE"""),"Other Challenge and Recommendation")</f>
        <v>Other Challenge and Recommendation</v>
      </c>
      <c r="E323" s="46" t="str">
        <f>IFERROR(__xludf.DUMMYFUNCTION("if(or(QuotesCheckJudge="""",and(QuotesCheckJudge = ""primeiro"", QuotesCheckChallengeRecommendation1 &lt;&gt; """")), filter('Quotes-Check'!E323:F323, 'Quotes-Check'!E323:F323&lt;&gt;""glugluieie""),if(and(QuotesCheckJudge = ""segundo"", QuotesCheckChallengeRecommend"&amp;"ation2 &lt;&gt; """"), filter('Quotes-Check'!I323:J323, 'Quotes-Check'!I323:J323&lt;&gt;""glugluieie""),""""))"),"challenge")</f>
        <v>challenge</v>
      </c>
      <c r="F323" s="22" t="str">
        <f>IFERROR(__xludf.DUMMYFUNCTION("""COMPUTED_VALUE"""),"the big challenge for me right, is, uh, is keeping up with the technology [...] so it's just challenging to keep up with all the new technology that's out there in DevOps.")</f>
        <v>the big challenge for me right, is, uh, is keeping up with the technology [...] so it's just challenging to keep up with all the new technology that's out there in DevOps.</v>
      </c>
      <c r="G323" s="22" t="str">
        <f>if(QuotesCheckJudgeAbstract&lt;&gt;"",QuotesCheckJudgeAbstract,if(or(QuotesCheckJudge="",and(QuotesCheckJudge = "primeiro", QuotesCheckChallengeRecommendation1 &lt;&gt; "")), QuotesCheckAbstract1,if(and(QuotesCheckJudge = "segundo", QuotesCheckChallengeRecommendation2 &lt;&gt; ""), QuotesCheckAbstract2,"")))</f>
        <v>Keep up with new technologies is challenging.</v>
      </c>
    </row>
    <row r="324">
      <c r="A324" s="22">
        <f>IFERROR(__xludf.DUMMYFUNCTION("if(or(QuotesCheckJudge="""",and(QuotesCheckJudge = ""primeiro"", QuotesCheckChallengeRecommendation1 &lt;&gt; """"),and(QuotesCheckJudge = ""segundo"", QuotesCheckChallengeRecommendation2 &lt;&gt; """")), filter('Quotes-Check'!A324:D324, 'Quotes-Check'!A324:D324&lt;&gt;""g"&amp;"lugluieie""),"""")"),9.0)</f>
        <v>9</v>
      </c>
      <c r="B324" s="22">
        <f>IFERROR(__xludf.DUMMYFUNCTION("""COMPUTED_VALUE"""),1.0)</f>
        <v>1</v>
      </c>
      <c r="C324" s="2" t="str">
        <f>IFERROR(__xludf.DUMMYFUNCTION("""COMPUTED_VALUE"""),"R1 / R2")</f>
        <v>R1 / R2</v>
      </c>
      <c r="D324" s="22" t="str">
        <f>IFERROR(__xludf.DUMMYFUNCTION("""COMPUTED_VALUE"""),"General Challenges and Recommendations")</f>
        <v>General Challenges and Recommendations</v>
      </c>
      <c r="E324" s="46" t="str">
        <f>IFERROR(__xludf.DUMMYFUNCTION("if(or(QuotesCheckJudge="""",and(QuotesCheckJudge = ""primeiro"", QuotesCheckChallengeRecommendation1 &lt;&gt; """")), filter('Quotes-Check'!E324:F324, 'Quotes-Check'!E324:F324&lt;&gt;""glugluieie""),if(and(QuotesCheckJudge = ""segundo"", QuotesCheckChallengeRecommend"&amp;"ation2 &lt;&gt; """"), filter('Quotes-Check'!I324:J324, 'Quotes-Check'!I324:J324&lt;&gt;""glugluieie""),""""))"),"challenge")</f>
        <v>challenge</v>
      </c>
      <c r="F324" s="22" t="str">
        <f>IFERROR(__xludf.DUMMYFUNCTION("""COMPUTED_VALUE"""),"Many students, even master's students who are going through this kind of a program are probably, are we missing one or two frames of reference? A lot of students come through approaching this from the software engineering side of the house. They're learni"&amp;"ng how to build applications and that sort of thing. They have no real experience on operations and simply standing up infrastructure in the cloud is not operations, right? It's an aspect of operations. It's important piece of operations, but it's not eve"&amp;"rything you don't necessarily have people with the expertise in network design capacity plan, security, identity management")</f>
        <v>Many students, even master's students who are going through this kind of a program are probably, are we missing one or two frames of reference? A lot of students come through approaching this from the software engineering side of the house. They're learning how to build applications and that sort of thing. They have no real experience on operations and simply standing up infrastructure in the cloud is not operations, right? It's an aspect of operations. It's important piece of operations, but it's not everything you don't necessarily have people with the expertise in network design capacity plan, security, identity management</v>
      </c>
      <c r="G324" s="22" t="str">
        <f>if(QuotesCheckJudgeAbstract&lt;&gt;"",QuotesCheckJudgeAbstract,if(or(QuotesCheckJudge="",and(QuotesCheckJudge = "primeiro", QuotesCheckChallengeRecommendation1 &lt;&gt; "")), QuotesCheckAbstract1,if(and(QuotesCheckJudge = "segundo", QuotesCheckChallengeRecommendation2 &lt;&gt; ""), QuotesCheckAbstract2,"")))</f>
        <v>Students who came from the area of ​​software engineering lack experience in operational activities</v>
      </c>
    </row>
    <row r="325">
      <c r="A325" s="22">
        <f>IFERROR(__xludf.DUMMYFUNCTION("if(or(QuotesCheckJudge="""",and(QuotesCheckJudge = ""primeiro"", QuotesCheckChallengeRecommendation1 &lt;&gt; """"),and(QuotesCheckJudge = ""segundo"", QuotesCheckChallengeRecommendation2 &lt;&gt; """")), filter('Quotes-Check'!A325:D325, 'Quotes-Check'!A325:D325&lt;&gt;""g"&amp;"lugluieie""),"""")"),9.0)</f>
        <v>9</v>
      </c>
      <c r="B325" s="22">
        <f>IFERROR(__xludf.DUMMYFUNCTION("""COMPUTED_VALUE"""),2.0)</f>
        <v>2</v>
      </c>
      <c r="C325" s="2" t="str">
        <f>IFERROR(__xludf.DUMMYFUNCTION("""COMPUTED_VALUE"""),"R2 / R3")</f>
        <v>R2 / R3</v>
      </c>
      <c r="D325" s="22" t="str">
        <f>IFERROR(__xludf.DUMMYFUNCTION("""COMPUTED_VALUE"""),"General Challenges and Recommendations")</f>
        <v>General Challenges and Recommendations</v>
      </c>
      <c r="E325" s="46" t="str">
        <f>IFERROR(__xludf.DUMMYFUNCTION("if(or(QuotesCheckJudge="""",and(QuotesCheckJudge = ""primeiro"", QuotesCheckChallengeRecommendation1 &lt;&gt; """")), filter('Quotes-Check'!E325:F325, 'Quotes-Check'!E325:F325&lt;&gt;""glugluieie""),if(and(QuotesCheckJudge = ""segundo"", QuotesCheckChallengeRecommend"&amp;"ation2 &lt;&gt; """"), filter('Quotes-Check'!I325:J325, 'Quotes-Check'!I325:J325&lt;&gt;""glugluieie""),""""))"),"challenge")</f>
        <v>challenge</v>
      </c>
      <c r="F325" s="22" t="str">
        <f>IFERROR(__xludf.DUMMYFUNCTION("""COMPUTED_VALUE"""),"there's a lack of frame of reference on even what operations is. Most people get into operations, at least in my experience sort of accidentally.")</f>
        <v>there's a lack of frame of reference on even what operations is. Most people get into operations, at least in my experience sort of accidentally.</v>
      </c>
      <c r="G325" s="22" t="str">
        <f>if(QuotesCheckJudgeAbstract&lt;&gt;"",QuotesCheckJudgeAbstract,if(or(QuotesCheckJudge="",and(QuotesCheckJudge = "primeiro", QuotesCheckChallengeRecommendation1 &lt;&gt; "")), QuotesCheckAbstract1,if(and(QuotesCheckJudge = "segundo", QuotesCheckChallengeRecommendation2 &lt;&gt; ""), QuotesCheckAbstract2,"")))</f>
        <v>There's a lack of reference on operations concepts.</v>
      </c>
    </row>
    <row r="326">
      <c r="A326" s="22">
        <f>IFERROR(__xludf.DUMMYFUNCTION("if(or(QuotesCheckJudge="""",and(QuotesCheckJudge = ""primeiro"", QuotesCheckChallengeRecommendation1 &lt;&gt; """"),and(QuotesCheckJudge = ""segundo"", QuotesCheckChallengeRecommendation2 &lt;&gt; """")), filter('Quotes-Check'!A326:D326, 'Quotes-Check'!A326:D326&lt;&gt;""g"&amp;"lugluieie""),"""")"),9.0)</f>
        <v>9</v>
      </c>
      <c r="B326" s="22">
        <f>IFERROR(__xludf.DUMMYFUNCTION("""COMPUTED_VALUE"""),3.0)</f>
        <v>3</v>
      </c>
      <c r="C326" s="2" t="str">
        <f>IFERROR(__xludf.DUMMYFUNCTION("""COMPUTED_VALUE"""),"R1 / R3")</f>
        <v>R1 / R3</v>
      </c>
      <c r="D326" s="22" t="str">
        <f>IFERROR(__xludf.DUMMYFUNCTION("""COMPUTED_VALUE"""),"General Challenges and Recommendations")</f>
        <v>General Challenges and Recommendations</v>
      </c>
      <c r="E326" s="46" t="str">
        <f>IFERROR(__xludf.DUMMYFUNCTION("if(or(QuotesCheckJudge="""",and(QuotesCheckJudge = ""primeiro"", QuotesCheckChallengeRecommendation1 &lt;&gt; """")), filter('Quotes-Check'!E326:F326, 'Quotes-Check'!E326:F326&lt;&gt;""glugluieie""),if(and(QuotesCheckJudge = ""segundo"", QuotesCheckChallengeRecommend"&amp;"ation2 &lt;&gt; """"), filter('Quotes-Check'!I326:J326, 'Quotes-Check'!I326:J326&lt;&gt;""glugluieie""),""""))"),"challenge")</f>
        <v>challenge</v>
      </c>
      <c r="F326" s="22" t="str">
        <f>IFERROR(__xludf.DUMMYFUNCTION("""COMPUTED_VALUE"""),"You have a clean compile, you've tested your code and it meets the functional requirements. And that's the end of the story. But as we know, you know, even from software development,[...] it doesn't end once the software is built and once it's passed test"&amp;"ing, then it goes into this entire operational stage. We tend to ignore it. And I don't think we ignore it deliberately. We ignore it because it's hard")</f>
        <v>You have a clean compile, you've tested your code and it meets the functional requirements. And that's the end of the story. But as we know, you know, even from software development,[...] it doesn't end once the software is built and once it's passed testing, then it goes into this entire operational stage. We tend to ignore it. And I don't think we ignore it deliberately. We ignore it because it's hard</v>
      </c>
      <c r="G326" s="22" t="str">
        <f>if(QuotesCheckJudgeAbstract&lt;&gt;"",QuotesCheckJudgeAbstract,if(or(QuotesCheckJudge="",and(QuotesCheckJudge = "primeiro", QuotesCheckChallengeRecommendation1 &lt;&gt; "")), QuotesCheckAbstract1,if(and(QuotesCheckJudge = "segundo", QuotesCheckChallengeRecommendation2 &lt;&gt; ""), QuotesCheckAbstract2,"")))</f>
        <v>Teach operational activities is ignored because it is hard.</v>
      </c>
    </row>
    <row r="327">
      <c r="A327" s="22">
        <f>IFERROR(__xludf.DUMMYFUNCTION("if(or(QuotesCheckJudge="""",and(QuotesCheckJudge = ""primeiro"", QuotesCheckChallengeRecommendation1 &lt;&gt; """"),and(QuotesCheckJudge = ""segundo"", QuotesCheckChallengeRecommendation2 &lt;&gt; """")), filter('Quotes-Check'!A327:D327, 'Quotes-Check'!A327:D327&lt;&gt;""g"&amp;"lugluieie""),"""")"),9.0)</f>
        <v>9</v>
      </c>
      <c r="B327" s="22">
        <f>IFERROR(__xludf.DUMMYFUNCTION("""COMPUTED_VALUE"""),3.0)</f>
        <v>3</v>
      </c>
      <c r="C327" s="2" t="str">
        <f>IFERROR(__xludf.DUMMYFUNCTION("""COMPUTED_VALUE"""),"R1 / R3")</f>
        <v>R1 / R3</v>
      </c>
      <c r="D327" s="22" t="str">
        <f>IFERROR(__xludf.DUMMYFUNCTION("""COMPUTED_VALUE"""),"General Challenges and Recommendations")</f>
        <v>General Challenges and Recommendations</v>
      </c>
      <c r="E327" s="46" t="str">
        <f>IFERROR(__xludf.DUMMYFUNCTION("if(or(QuotesCheckJudge="""",and(QuotesCheckJudge = ""primeiro"", QuotesCheckChallengeRecommendation1 &lt;&gt; """")), filter('Quotes-Check'!E327:F327, 'Quotes-Check'!E327:F327&lt;&gt;""glugluieie""),if(and(QuotesCheckJudge = ""segundo"", QuotesCheckChallengeRecommend"&amp;"ation2 &lt;&gt; """"), filter('Quotes-Check'!I327:J327, 'Quotes-Check'!I327:J327&lt;&gt;""glugluieie""),""""))"),"recommendation")</f>
        <v>recommendation</v>
      </c>
      <c r="F327" s="22" t="str">
        <f>IFERROR(__xludf.DUMMYFUNCTION("""COMPUTED_VALUE"""),"we had cloud computing, where can easily stand up virtual machines for people and things like that.")</f>
        <v>we had cloud computing, where can easily stand up virtual machines for people and things like that.</v>
      </c>
      <c r="G327" s="22" t="str">
        <f>if(QuotesCheckJudgeAbstract&lt;&gt;"",QuotesCheckJudgeAbstract,if(or(QuotesCheckJudge="",and(QuotesCheckJudge = "primeiro", QuotesCheckChallengeRecommendation1 &lt;&gt; "")), QuotesCheckAbstract1,if(and(QuotesCheckJudge = "segundo", QuotesCheckChallengeRecommendation2 &lt;&gt; ""), QuotesCheckAbstract2,"")))</f>
        <v>Cloud computing make easier to stand up virtual machines.</v>
      </c>
    </row>
    <row r="328">
      <c r="A328" s="22">
        <f>IFERROR(__xludf.DUMMYFUNCTION("if(or(QuotesCheckJudge="""",and(QuotesCheckJudge = ""primeiro"", QuotesCheckChallengeRecommendation1 &lt;&gt; """"),and(QuotesCheckJudge = ""segundo"", QuotesCheckChallengeRecommendation2 &lt;&gt; """")), filter('Quotes-Check'!A328:D328, 'Quotes-Check'!A328:D328&lt;&gt;""g"&amp;"lugluieie""),"""")"),9.0)</f>
        <v>9</v>
      </c>
      <c r="B328" s="22">
        <f>IFERROR(__xludf.DUMMYFUNCTION("""COMPUTED_VALUE"""),3.0)</f>
        <v>3</v>
      </c>
      <c r="C328" s="2" t="str">
        <f>IFERROR(__xludf.DUMMYFUNCTION("""COMPUTED_VALUE"""),"R1 / R3")</f>
        <v>R1 / R3</v>
      </c>
      <c r="D328" s="22" t="str">
        <f>IFERROR(__xludf.DUMMYFUNCTION("""COMPUTED_VALUE"""),"General Challenges and Recommendations")</f>
        <v>General Challenges and Recommendations</v>
      </c>
      <c r="E328" s="46" t="str">
        <f>IFERROR(__xludf.DUMMYFUNCTION("if(or(QuotesCheckJudge="""",and(QuotesCheckJudge = ""primeiro"", QuotesCheckChallengeRecommendation1 &lt;&gt; """")), filter('Quotes-Check'!E328:F328, 'Quotes-Check'!E328:F328&lt;&gt;""glugluieie""),if(and(QuotesCheckJudge = ""segundo"", QuotesCheckChallengeRecommend"&amp;"ation2 &lt;&gt; """"), filter('Quotes-Check'!I328:J328, 'Quotes-Check'!I328:J328&lt;&gt;""glugluieie""),""""))"),"challenge")</f>
        <v>challenge</v>
      </c>
      <c r="F328" s="22" t="str">
        <f>IFERROR(__xludf.DUMMYFUNCTION("""COMPUTED_VALUE""")," That simply wasn't a possibility and computer labs are not equipped for that sort of a thing because of necessity. Universities have to lock down their software and hardware to keep really bad things from happening.")</f>
        <v> That simply wasn't a possibility and computer labs are not equipped for that sort of a thing because of necessity. Universities have to lock down their software and hardware to keep really bad things from happening.</v>
      </c>
      <c r="G328" s="22" t="str">
        <f>if(QuotesCheckJudgeAbstract&lt;&gt;"",QuotesCheckJudgeAbstract,if(or(QuotesCheckJudge="",and(QuotesCheckJudge = "primeiro", QuotesCheckChallengeRecommendation1 &lt;&gt; "")), QuotesCheckAbstract1,if(and(QuotesCheckJudge = "segundo", QuotesCheckChallengeRecommendation2 &lt;&gt; ""), QuotesCheckAbstract2,"")))</f>
        <v>University labs have restrictions on installing tools.</v>
      </c>
    </row>
    <row r="329">
      <c r="A329" s="22">
        <f>IFERROR(__xludf.DUMMYFUNCTION("if(or(QuotesCheckJudge="""",and(QuotesCheckJudge = ""primeiro"", QuotesCheckChallengeRecommendation1 &lt;&gt; """"),and(QuotesCheckJudge = ""segundo"", QuotesCheckChallengeRecommendation2 &lt;&gt; """")), filter('Quotes-Check'!A329:D329, 'Quotes-Check'!A329:D329&lt;&gt;""g"&amp;"lugluieie""),"""")"),9.0)</f>
        <v>9</v>
      </c>
      <c r="B329" s="22">
        <f>IFERROR(__xludf.DUMMYFUNCTION("""COMPUTED_VALUE"""),4.0)</f>
        <v>4</v>
      </c>
      <c r="C329" s="2" t="str">
        <f>IFERROR(__xludf.DUMMYFUNCTION("""COMPUTED_VALUE"""),"R1 / R3")</f>
        <v>R1 / R3</v>
      </c>
      <c r="D329" s="22" t="str">
        <f>IFERROR(__xludf.DUMMYFUNCTION("""COMPUTED_VALUE"""),"General Challenges and Recommendations")</f>
        <v>General Challenges and Recommendations</v>
      </c>
      <c r="E329" s="46" t="str">
        <f>IFERROR(__xludf.DUMMYFUNCTION("if(or(QuotesCheckJudge="""",and(QuotesCheckJudge = ""primeiro"", QuotesCheckChallengeRecommendation1 &lt;&gt; """")), filter('Quotes-Check'!E329:F329, 'Quotes-Check'!E329:F329&lt;&gt;""glugluieie""),if(and(QuotesCheckJudge = ""segundo"", QuotesCheckChallengeRecommend"&amp;"ation2 &lt;&gt; """"), filter('Quotes-Check'!I329:J329, 'Quotes-Check'!I329:J329&lt;&gt;""glugluieie""),""""))"),"challenge")</f>
        <v>challenge</v>
      </c>
      <c r="F329" s="22" t="str">
        <f>IFERROR(__xludf.DUMMYFUNCTION("""COMPUTED_VALUE"""),"that is a lot of the devops principles that come into play. ")</f>
        <v>that is a lot of the devops principles that come into play. </v>
      </c>
      <c r="G329" s="22" t="str">
        <f>if(QuotesCheckJudgeAbstract&lt;&gt;"",QuotesCheckJudgeAbstract,if(or(QuotesCheckJudge="",and(QuotesCheckJudge = "primeiro", QuotesCheckChallengeRecommendation1 &lt;&gt; "")), QuotesCheckAbstract1,if(and(QuotesCheckJudge = "segundo", QuotesCheckChallengeRecommendation2 &lt;&gt; ""), QuotesCheckAbstract2,"")))</f>
        <v>Many devops concepts need to be taught.</v>
      </c>
    </row>
    <row r="330">
      <c r="A330" s="22">
        <f>IFERROR(__xludf.DUMMYFUNCTION("if(or(QuotesCheckJudge="""",and(QuotesCheckJudge = ""primeiro"", QuotesCheckChallengeRecommendation1 &lt;&gt; """"),and(QuotesCheckJudge = ""segundo"", QuotesCheckChallengeRecommendation2 &lt;&gt; """")), filter('Quotes-Check'!A330:D330, 'Quotes-Check'!A330:D330&lt;&gt;""g"&amp;"lugluieie""),"""")"),9.0)</f>
        <v>9</v>
      </c>
      <c r="B330" s="22">
        <f>IFERROR(__xludf.DUMMYFUNCTION("""COMPUTED_VALUE"""),4.0)</f>
        <v>4</v>
      </c>
      <c r="C330" s="2" t="str">
        <f>IFERROR(__xludf.DUMMYFUNCTION("""COMPUTED_VALUE"""),"R1 / R3")</f>
        <v>R1 / R3</v>
      </c>
      <c r="D330" s="22" t="str">
        <f>IFERROR(__xludf.DUMMYFUNCTION("""COMPUTED_VALUE"""),"General Challenges and Recommendations")</f>
        <v>General Challenges and Recommendations</v>
      </c>
      <c r="E330" s="46" t="str">
        <f>IFERROR(__xludf.DUMMYFUNCTION("if(or(QuotesCheckJudge="""",and(QuotesCheckJudge = ""primeiro"", QuotesCheckChallengeRecommendation1 &lt;&gt; """")), filter('Quotes-Check'!E330:F330, 'Quotes-Check'!E330:F330&lt;&gt;""glugluieie""),if(and(QuotesCheckJudge = ""segundo"", QuotesCheckChallengeRecommend"&amp;"ation2 &lt;&gt; """"), filter('Quotes-Check'!I330:J330, 'Quotes-Check'!I330:J330&lt;&gt;""glugluieie""),""""))"),"challenge")</f>
        <v>challenge</v>
      </c>
      <c r="F330" s="22" t="str">
        <f>IFERROR(__xludf.DUMMYFUNCTION("""COMPUTED_VALUE"""),"doing infrastructure as code or forms of configuration management or containerization, or even the simpler things like treating build scripts as first-class citizens alongside your code, start to not be meaningful until you have code at some minimum scale"&amp;" where there's a certain minimum complexity, both in terms of construction.")</f>
        <v>doing infrastructure as code or forms of configuration management or containerization, or even the simpler things like treating build scripts as first-class citizens alongside your code, start to not be meaningful until you have code at some minimum scale where there's a certain minimum complexity, both in terms of construction.</v>
      </c>
      <c r="G330" s="22" t="str">
        <f>if(QuotesCheckJudgeAbstract&lt;&gt;"",QuotesCheckJudgeAbstract,if(or(QuotesCheckJudge="",and(QuotesCheckJudge = "primeiro", QuotesCheckChallengeRecommendation1 &lt;&gt; "")), QuotesCheckAbstract1,if(and(QuotesCheckJudge = "segundo", QuotesCheckChallengeRecommendation2 &lt;&gt; ""), QuotesCheckAbstract2,"")))</f>
        <v>Devops concepts like configuration management and contaizerization need examples with mininum scale and complexity.</v>
      </c>
    </row>
    <row r="331">
      <c r="A331" s="22">
        <f>IFERROR(__xludf.DUMMYFUNCTION("if(or(QuotesCheckJudge="""",and(QuotesCheckJudge = ""primeiro"", QuotesCheckChallengeRecommendation1 &lt;&gt; """"),and(QuotesCheckJudge = ""segundo"", QuotesCheckChallengeRecommendation2 &lt;&gt; """")), filter('Quotes-Check'!A331:D331, 'Quotes-Check'!A331:D331&lt;&gt;""g"&amp;"lugluieie""),"""")"),9.0)</f>
        <v>9</v>
      </c>
      <c r="B331" s="22">
        <f>IFERROR(__xludf.DUMMYFUNCTION("""COMPUTED_VALUE"""),4.0)</f>
        <v>4</v>
      </c>
      <c r="C331" s="2" t="str">
        <f>IFERROR(__xludf.DUMMYFUNCTION("""COMPUTED_VALUE"""),"R1 / R3")</f>
        <v>R1 / R3</v>
      </c>
      <c r="D331" s="22" t="str">
        <f>IFERROR(__xludf.DUMMYFUNCTION("""COMPUTED_VALUE"""),"General Challenges and Recommendations")</f>
        <v>General Challenges and Recommendations</v>
      </c>
      <c r="E331" s="46" t="str">
        <f>IFERROR(__xludf.DUMMYFUNCTION("if(or(QuotesCheckJudge="""",and(QuotesCheckJudge = ""primeiro"", QuotesCheckChallengeRecommendation1 &lt;&gt; """")), filter('Quotes-Check'!E331:F331, 'Quotes-Check'!E331:F331&lt;&gt;""glugluieie""),if(and(QuotesCheckJudge = ""segundo"", QuotesCheckChallengeRecommend"&amp;"ation2 &lt;&gt; """"), filter('Quotes-Check'!I331:J331, 'Quotes-Check'!I331:J331&lt;&gt;""glugluieie""),""""))"),"challenge")</f>
        <v>challenge</v>
      </c>
      <c r="F331" s="22" t="str">
        <f>IFERROR(__xludf.DUMMYFUNCTION("""COMPUTED_VALUE"""),"And in terms of operation, a lot of the stuff that we tend to do at university tends to be fairly small because there's just realistic time constraints for how much people can get done in a week or two, or even in a term or a semester. ...  that I've foun"&amp;"d is a little bit of misconception or at least prejudice around what devops actually is.")</f>
        <v>And in terms of operation, a lot of the stuff that we tend to do at university tends to be fairly small because there's just realistic time constraints for how much people can get done in a week or two, or even in a term or a semester. ...  that I've found is a little bit of misconception or at least prejudice around what devops actually is.</v>
      </c>
      <c r="G331" s="22" t="str">
        <f>if(QuotesCheckJudgeAbstract&lt;&gt;"",QuotesCheckJudgeAbstract,if(or(QuotesCheckJudge="",and(QuotesCheckJudge = "primeiro", QuotesCheckChallengeRecommendation1 &lt;&gt; "")), QuotesCheckAbstract1,if(and(QuotesCheckJudge = "segundo", QuotesCheckChallengeRecommendation2 &lt;&gt; ""), QuotesCheckAbstract2,"")))</f>
        <v>Realistic time constraints prejudice around what devops actually is.</v>
      </c>
    </row>
    <row r="332">
      <c r="A332" s="22">
        <f>IFERROR(__xludf.DUMMYFUNCTION("if(or(QuotesCheckJudge="""",and(QuotesCheckJudge = ""primeiro"", QuotesCheckChallengeRecommendation1 &lt;&gt; """"),and(QuotesCheckJudge = ""segundo"", QuotesCheckChallengeRecommendation2 &lt;&gt; """")), filter('Quotes-Check'!A332:D332, 'Quotes-Check'!A332:D332&lt;&gt;""g"&amp;"lugluieie""),"""")"),9.0)</f>
        <v>9</v>
      </c>
      <c r="B332" s="22">
        <f>IFERROR(__xludf.DUMMYFUNCTION("""COMPUTED_VALUE"""),5.0)</f>
        <v>5</v>
      </c>
      <c r="C332" s="2" t="str">
        <f>IFERROR(__xludf.DUMMYFUNCTION("""COMPUTED_VALUE"""),"R1 / R3")</f>
        <v>R1 / R3</v>
      </c>
      <c r="D332" s="22" t="str">
        <f>IFERROR(__xludf.DUMMYFUNCTION("""COMPUTED_VALUE"""),"General Challenges and Recommendations")</f>
        <v>General Challenges and Recommendations</v>
      </c>
      <c r="E332" s="46" t="str">
        <f>IFERROR(__xludf.DUMMYFUNCTION("if(or(QuotesCheckJudge="""",and(QuotesCheckJudge = ""primeiro"", QuotesCheckChallengeRecommendation1 &lt;&gt; """")), filter('Quotes-Check'!E332:F332, 'Quotes-Check'!E332:F332&lt;&gt;""glugluieie""),if(and(QuotesCheckJudge = ""segundo"", QuotesCheckChallengeRecommend"&amp;"ation2 &lt;&gt; """"), filter('Quotes-Check'!I332:J332, 'Quotes-Check'!I332:J332&lt;&gt;""glugluieie""),""""))"),"challenge")</f>
        <v>challenge</v>
      </c>
      <c r="F332" s="22" t="str">
        <f>IFERROR(__xludf.DUMMYFUNCTION("""COMPUTED_VALUE""")," People coming through the programs want to play with technology. ... But what that tends to foster is a technology centric attitude about what devops is all about. ... That's half the reason we got into this field in the first place, and it's a really fu"&amp;"n thing to be able to do, but it's not sufficient.  ")</f>
        <v> People coming through the programs want to play with technology. ... But what that tends to foster is a technology centric attitude about what devops is all about. ... That's half the reason we got into this field in the first place, and it's a really fun thing to be able to do, but it's not sufficient.  </v>
      </c>
      <c r="G332" s="22" t="str">
        <f>if(QuotesCheckJudgeAbstract&lt;&gt;"",QuotesCheckJudgeAbstract,if(or(QuotesCheckJudge="",and(QuotesCheckJudge = "primeiro", QuotesCheckChallengeRecommendation1 &lt;&gt; "")), QuotesCheckAbstract1,if(and(QuotesCheckJudge = "segundo", QuotesCheckChallengeRecommendation2 &lt;&gt; ""), QuotesCheckAbstract2,"")))</f>
        <v>Students came to course focused in the tools.</v>
      </c>
    </row>
    <row r="333">
      <c r="A333" s="22">
        <f>IFERROR(__xludf.DUMMYFUNCTION("if(or(QuotesCheckJudge="""",and(QuotesCheckJudge = ""primeiro"", QuotesCheckChallengeRecommendation1 &lt;&gt; """"),and(QuotesCheckJudge = ""segundo"", QuotesCheckChallengeRecommendation2 &lt;&gt; """")), filter('Quotes-Check'!A333:D333, 'Quotes-Check'!A333:D333&lt;&gt;""g"&amp;"lugluieie""),"""")"),9.0)</f>
        <v>9</v>
      </c>
      <c r="B333" s="22">
        <f>IFERROR(__xludf.DUMMYFUNCTION("""COMPUTED_VALUE"""),5.0)</f>
        <v>5</v>
      </c>
      <c r="C333" s="2" t="str">
        <f>IFERROR(__xludf.DUMMYFUNCTION("""COMPUTED_VALUE"""),"R1 / R3")</f>
        <v>R1 / R3</v>
      </c>
      <c r="D333" s="22" t="str">
        <f>IFERROR(__xludf.DUMMYFUNCTION("""COMPUTED_VALUE"""),"General Challenges and Recommendations")</f>
        <v>General Challenges and Recommendations</v>
      </c>
      <c r="E333" s="46" t="str">
        <f>IFERROR(__xludf.DUMMYFUNCTION("if(or(QuotesCheckJudge="""",and(QuotesCheckJudge = ""primeiro"", QuotesCheckChallengeRecommendation1 &lt;&gt; """")), filter('Quotes-Check'!E333:F333, 'Quotes-Check'!E333:F333&lt;&gt;""glugluieie""),if(and(QuotesCheckJudge = ""segundo"", QuotesCheckChallengeRecommend"&amp;"ation2 &lt;&gt; """"), filter('Quotes-Check'!I333:J333, 'Quotes-Check'!I333:J333&lt;&gt;""glugluieie""),""""))"),"recommendation")</f>
        <v>recommendation</v>
      </c>
      <c r="F333" s="22" t="str">
        <f>IFERROR(__xludf.DUMMYFUNCTION("""COMPUTED_VALUE"""),"People coming through the programs want to play with technology. That's half the reason we got into this field in the first place, and it's a really fun thing to be able to do, but it's not sufficient. And trying to change that mindset to emphasize more t"&amp;"he idea of devops as a means of continuous improvement, as a means of organizational change. As a, to some extent I use this phrase guardedly, but to some extent, a philosophy around how the organization is going to go from concept to implementation, that"&amp;"'s a much harder set of skills to pick up.")</f>
        <v>People coming through the programs want to play with technology. That's half the reason we got into this field in the first place, and it's a really fun thing to be able to do, but it's not sufficient. And trying to change that mindset to emphasize more the idea of devops as a means of continuous improvement, as a means of organizational change. As a, to some extent I use this phrase guardedly, but to some extent, a philosophy around how the organization is going to go from concept to implementation, that's a much harder set of skills to pick up.</v>
      </c>
      <c r="G333" s="22" t="str">
        <f>if(QuotesCheckJudgeAbstract&lt;&gt;"",QuotesCheckJudgeAbstract,if(or(QuotesCheckJudge="",and(QuotesCheckJudge = "primeiro", QuotesCheckChallengeRecommendation1 &lt;&gt; "")), QuotesCheckAbstract1,if(and(QuotesCheckJudge = "segundo", QuotesCheckChallengeRecommendation2 &lt;&gt; ""), QuotesCheckAbstract2,"")))</f>
        <v>Make clear the importance of the DevOps mindset like continuous improvement in addition to using the tools.</v>
      </c>
    </row>
    <row r="334">
      <c r="A334" s="22">
        <f>IFERROR(__xludf.DUMMYFUNCTION("if(or(QuotesCheckJudge="""",and(QuotesCheckJudge = ""primeiro"", QuotesCheckChallengeRecommendation1 &lt;&gt; """"),and(QuotesCheckJudge = ""segundo"", QuotesCheckChallengeRecommendation2 &lt;&gt; """")), filter('Quotes-Check'!A334:D334, 'Quotes-Check'!A334:D334&lt;&gt;""g"&amp;"lugluieie""),"""")"),9.0)</f>
        <v>9</v>
      </c>
      <c r="B334" s="22">
        <f>IFERROR(__xludf.DUMMYFUNCTION("""COMPUTED_VALUE"""),7.0)</f>
        <v>7</v>
      </c>
      <c r="C334" s="2" t="str">
        <f>IFERROR(__xludf.DUMMYFUNCTION("""COMPUTED_VALUE"""),"R2 / R3")</f>
        <v>R2 / R3</v>
      </c>
      <c r="D334" s="22" t="str">
        <f>IFERROR(__xludf.DUMMYFUNCTION("""COMPUTED_VALUE"""),"Environment Setup")</f>
        <v>Environment Setup</v>
      </c>
      <c r="E334" s="46" t="str">
        <f>IFERROR(__xludf.DUMMYFUNCTION("if(or(QuotesCheckJudge="""",and(QuotesCheckJudge = ""primeiro"", QuotesCheckChallengeRecommendation1 &lt;&gt; """")), filter('Quotes-Check'!E334:F334, 'Quotes-Check'!E334:F334&lt;&gt;""glugluieie""),if(and(QuotesCheckJudge = ""segundo"", QuotesCheckChallengeRecommend"&amp;"ation2 &lt;&gt; """"), filter('Quotes-Check'!I334:J334, 'Quotes-Check'!I334:J334&lt;&gt;""glugluieie""),""""))"),"challenge")</f>
        <v>challenge</v>
      </c>
      <c r="F334" s="22" t="str">
        <f>IFERROR(__xludf.DUMMYFUNCTION("""COMPUTED_VALUE"""),"Yeah, so challenges, um, differences in people's environments, their hardware, for example, every term, you know, if I want people to do something locally with, let's say, setting up virtual machines or containers or, or whatever, there's always some budd"&amp;"y who has some strange hardware configuration that causes problems.")</f>
        <v>Yeah, so challenges, um, differences in people's environments, their hardware, for example, every term, you know, if I want people to do something locally with, let's say, setting up virtual machines or containers or, or whatever, there's always some buddy who has some strange hardware configuration that causes problems.</v>
      </c>
      <c r="G334" s="22" t="str">
        <f>if(QuotesCheckJudgeAbstract&lt;&gt;"",QuotesCheckJudgeAbstract,if(or(QuotesCheckJudge="",and(QuotesCheckJudge = "primeiro", QuotesCheckChallengeRecommendation1 &lt;&gt; "")), QuotesCheckAbstract1,if(and(QuotesCheckJudge = "segundo", QuotesCheckChallengeRecommendation2 &lt;&gt; ""), QuotesCheckAbstract2,"")))</f>
        <v>Differences in people's environments and their hardware configuration cause problems.</v>
      </c>
    </row>
    <row r="335">
      <c r="A335" s="22">
        <f>IFERROR(__xludf.DUMMYFUNCTION("if(or(QuotesCheckJudge="""",and(QuotesCheckJudge = ""primeiro"", QuotesCheckChallengeRecommendation1 &lt;&gt; """"),and(QuotesCheckJudge = ""segundo"", QuotesCheckChallengeRecommendation2 &lt;&gt; """")), filter('Quotes-Check'!A335:D335, 'Quotes-Check'!A335:D335&lt;&gt;""g"&amp;"lugluieie""),"""")"),9.0)</f>
        <v>9</v>
      </c>
      <c r="B335" s="22">
        <f>IFERROR(__xludf.DUMMYFUNCTION("""COMPUTED_VALUE"""),7.0)</f>
        <v>7</v>
      </c>
      <c r="C335" s="2" t="str">
        <f>IFERROR(__xludf.DUMMYFUNCTION("""COMPUTED_VALUE"""),"R2 / R3")</f>
        <v>R2 / R3</v>
      </c>
      <c r="D335" s="22" t="str">
        <f>IFERROR(__xludf.DUMMYFUNCTION("""COMPUTED_VALUE"""),"Environment Setup")</f>
        <v>Environment Setup</v>
      </c>
      <c r="E335" s="46" t="str">
        <f>IFERROR(__xludf.DUMMYFUNCTION("if(or(QuotesCheckJudge="""",and(QuotesCheckJudge = ""primeiro"", QuotesCheckChallengeRecommendation1 &lt;&gt; """")), filter('Quotes-Check'!E335:F335, 'Quotes-Check'!E335:F335&lt;&gt;""glugluieie""),if(and(QuotesCheckJudge = ""segundo"", QuotesCheckChallengeRecommend"&amp;"ation2 &lt;&gt; """"), filter('Quotes-Check'!I335:J335, 'Quotes-Check'!I335:J335&lt;&gt;""glugluieie""),""""))"),"recommendation")</f>
        <v>recommendation</v>
      </c>
      <c r="F335" s="22" t="str">
        <f>IFERROR(__xludf.DUMMYFUNCTION("""COMPUTED_VALUE"""),"the recommendation is we just get them off their local machines and get them working off cloud servers or something like that. So that at least a, you can kind of script the stuff be if it gets messed up, there's no risk. You just tear it down and build a"&amp;" new one.")</f>
        <v>the recommendation is we just get them off their local machines and get them working off cloud servers or something like that. So that at least a, you can kind of script the stuff be if it gets messed up, there's no risk. You just tear it down and build a new one.</v>
      </c>
      <c r="G335" s="22" t="str">
        <f>if(QuotesCheckJudgeAbstract&lt;&gt;"",QuotesCheckJudgeAbstract,if(or(QuotesCheckJudge="",and(QuotesCheckJudge = "primeiro", QuotesCheckChallengeRecommendation1 &lt;&gt; "")), QuotesCheckAbstract1,if(and(QuotesCheckJudge = "segundo", QuotesCheckChallengeRecommendation2 &lt;&gt; ""), QuotesCheckAbstract2,"")))</f>
        <v>Get students off their local machines and get them working off cloud servers.</v>
      </c>
    </row>
    <row r="336">
      <c r="A336" s="22">
        <f>IFERROR(__xludf.DUMMYFUNCTION("if(or(QuotesCheckJudge="""",and(QuotesCheckJudge = ""primeiro"", QuotesCheckChallengeRecommendation1 &lt;&gt; """"),and(QuotesCheckJudge = ""segundo"", QuotesCheckChallengeRecommendation2 &lt;&gt; """")), filter('Quotes-Check'!A336:D336, 'Quotes-Check'!A336:D336&lt;&gt;""g"&amp;"lugluieie""),"""")"),9.0)</f>
        <v>9</v>
      </c>
      <c r="B336" s="22">
        <f>IFERROR(__xludf.DUMMYFUNCTION("""COMPUTED_VALUE"""),8.0)</f>
        <v>8</v>
      </c>
      <c r="C336" s="2" t="str">
        <f>IFERROR(__xludf.DUMMYFUNCTION("""COMPUTED_VALUE"""),"R1 / R3")</f>
        <v>R1 / R3</v>
      </c>
      <c r="D336" s="22" t="str">
        <f>IFERROR(__xludf.DUMMYFUNCTION("""COMPUTED_VALUE"""),"Environment Setup")</f>
        <v>Environment Setup</v>
      </c>
      <c r="E336" s="46" t="str">
        <f>IFERROR(__xludf.DUMMYFUNCTION("if(or(QuotesCheckJudge="""",and(QuotesCheckJudge = ""primeiro"", QuotesCheckChallengeRecommendation1 &lt;&gt; """")), filter('Quotes-Check'!E336:F336, 'Quotes-Check'!E336:F336&lt;&gt;""glugluieie""),if(and(QuotesCheckJudge = ""segundo"", QuotesCheckChallengeRecommend"&amp;"ation2 &lt;&gt; """"), filter('Quotes-Check'!I336:J336, 'Quotes-Check'!I336:J336&lt;&gt;""glugluieie""),""""))"),"challenge")</f>
        <v>challenge</v>
      </c>
      <c r="F336" s="22" t="str">
        <f>IFERROR(__xludf.DUMMYFUNCTION("""COMPUTED_VALUE"""),"And so every so often I'll get folks who have taken one class and then they start using the wrong version of the tool for the second class, because they have an upgraded or something along those lines. ")</f>
        <v>And so every so often I'll get folks who have taken one class and then they start using the wrong version of the tool for the second class, because they have an upgraded or something along those lines. </v>
      </c>
      <c r="G336" s="22" t="str">
        <f>if(QuotesCheckJudgeAbstract&lt;&gt;"",QuotesCheckJudgeAbstract,if(or(QuotesCheckJudge="",and(QuotesCheckJudge = "primeiro", QuotesCheckChallengeRecommendation1 &lt;&gt; "")), QuotesCheckAbstract1,if(and(QuotesCheckJudge = "segundo", QuotesCheckChallengeRecommendation2 &lt;&gt; ""), QuotesCheckAbstract2,"")))</f>
        <v>Tool versions upgrades require updating the labs during the classes.</v>
      </c>
    </row>
    <row r="337">
      <c r="A337" s="22">
        <f>IFERROR(__xludf.DUMMYFUNCTION("if(or(QuotesCheckJudge="""",and(QuotesCheckJudge = ""primeiro"", QuotesCheckChallengeRecommendation1 &lt;&gt; """"),and(QuotesCheckJudge = ""segundo"", QuotesCheckChallengeRecommendation2 &lt;&gt; """")), filter('Quotes-Check'!A337:D337, 'Quotes-Check'!A337:D337&lt;&gt;""g"&amp;"lugluieie""),"""")"),9.0)</f>
        <v>9</v>
      </c>
      <c r="B337" s="22">
        <f>IFERROR(__xludf.DUMMYFUNCTION("""COMPUTED_VALUE"""),8.0)</f>
        <v>8</v>
      </c>
      <c r="C337" s="2" t="str">
        <f>IFERROR(__xludf.DUMMYFUNCTION("""COMPUTED_VALUE"""),"R1 / R3")</f>
        <v>R1 / R3</v>
      </c>
      <c r="D337" s="22" t="str">
        <f>IFERROR(__xludf.DUMMYFUNCTION("""COMPUTED_VALUE"""),"Environment Setup")</f>
        <v>Environment Setup</v>
      </c>
      <c r="E337" s="46" t="str">
        <f>IFERROR(__xludf.DUMMYFUNCTION("if(or(QuotesCheckJudge="""",and(QuotesCheckJudge = ""primeiro"", QuotesCheckChallengeRecommendation1 &lt;&gt; """")), filter('Quotes-Check'!E337:F337, 'Quotes-Check'!E337:F337&lt;&gt;""glugluieie""),if(and(QuotesCheckJudge = ""segundo"", QuotesCheckChallengeRecommend"&amp;"ation2 &lt;&gt; """"), filter('Quotes-Check'!I337:J337, 'Quotes-Check'!I337:J337&lt;&gt;""glugluieie""),""""))"),"recommendation")</f>
        <v>recommendation</v>
      </c>
      <c r="F337" s="22" t="str">
        <f>IFERROR(__xludf.DUMMYFUNCTION("""COMPUTED_VALUE"""),"I'm starting to do is to just build out images, for example, that contain everything that I want them to have. Uh, and that way I can tell them to spin up a virtual machine. ")</f>
        <v>I'm starting to do is to just build out images, for example, that contain everything that I want them to have. Uh, and that way I can tell them to spin up a virtual machine. </v>
      </c>
      <c r="G337" s="22" t="str">
        <f>if(QuotesCheckJudgeAbstract&lt;&gt;"",QuotesCheckJudgeAbstract,if(or(QuotesCheckJudge="",and(QuotesCheckJudge = "primeiro", QuotesCheckChallengeRecommendation1 &lt;&gt; "")), QuotesCheckAbstract1,if(and(QuotesCheckJudge = "segundo", QuotesCheckChallengeRecommendation2 &lt;&gt; ""), QuotesCheckAbstract2,"")))</f>
        <v>Use imagens that contain everything that the teacher wants to teach to clone virtual machines.</v>
      </c>
    </row>
    <row r="338">
      <c r="A338" s="22">
        <f>IFERROR(__xludf.DUMMYFUNCTION("if(or(QuotesCheckJudge="""",and(QuotesCheckJudge = ""primeiro"", QuotesCheckChallengeRecommendation1 &lt;&gt; """"),and(QuotesCheckJudge = ""segundo"", QuotesCheckChallengeRecommendation2 &lt;&gt; """")), filter('Quotes-Check'!A338:D338, 'Quotes-Check'!A338:D338&lt;&gt;""g"&amp;"lugluieie""),"""")"),9.0)</f>
        <v>9</v>
      </c>
      <c r="B338" s="22">
        <f>IFERROR(__xludf.DUMMYFUNCTION("""COMPUTED_VALUE"""),9.0)</f>
        <v>9</v>
      </c>
      <c r="C338" s="2" t="str">
        <f>IFERROR(__xludf.DUMMYFUNCTION("""COMPUTED_VALUE"""),"R1 / R3")</f>
        <v>R1 / R3</v>
      </c>
      <c r="D338" s="22" t="str">
        <f>IFERROR(__xludf.DUMMYFUNCTION("""COMPUTED_VALUE"""),"Tool / Technology")</f>
        <v>Tool / Technology</v>
      </c>
      <c r="E338" s="46" t="str">
        <f>IFERROR(__xludf.DUMMYFUNCTION("if(or(QuotesCheckJudge="""",and(QuotesCheckJudge = ""primeiro"", QuotesCheckChallengeRecommendation1 &lt;&gt; """")), filter('Quotes-Check'!E338:F338, 'Quotes-Check'!E338:F338&lt;&gt;""glugluieie""),if(and(QuotesCheckJudge = ""segundo"", QuotesCheckChallengeRecommend"&amp;"ation2 &lt;&gt; """"), filter('Quotes-Check'!I338:J338, 'Quotes-Check'!I338:J338&lt;&gt;""glugluieie""),""""))"),"challenge")</f>
        <v>challenge</v>
      </c>
      <c r="F338" s="22" t="str">
        <f>IFERROR(__xludf.DUMMYFUNCTION("""COMPUTED_VALUE"""),"it is very dangerous to teach too many tools because it's simply conveys that it is a very technology centric approach.")</f>
        <v>it is very dangerous to teach too many tools because it's simply conveys that it is a very technology centric approach.</v>
      </c>
      <c r="G338" s="22" t="str">
        <f>if(QuotesCheckJudgeAbstract&lt;&gt;"",QuotesCheckJudgeAbstract,if(or(QuotesCheckJudge="",and(QuotesCheckJudge = "primeiro", QuotesCheckChallengeRecommendation1 &lt;&gt; "")), QuotesCheckAbstract1,if(and(QuotesCheckJudge = "segundo", QuotesCheckChallengeRecommendation2 &lt;&gt; ""), QuotesCheckAbstract2,"")))</f>
        <v>It is very dangerous to teach too many tools because it conveys that DevOps is a very technology centric approach.</v>
      </c>
    </row>
    <row r="339">
      <c r="A339" s="22">
        <f>IFERROR(__xludf.DUMMYFUNCTION("if(or(QuotesCheckJudge="""",and(QuotesCheckJudge = ""primeiro"", QuotesCheckChallengeRecommendation1 &lt;&gt; """"),and(QuotesCheckJudge = ""segundo"", QuotesCheckChallengeRecommendation2 &lt;&gt; """")), filter('Quotes-Check'!A339:D339, 'Quotes-Check'!A339:D339&lt;&gt;""g"&amp;"lugluieie""),"""")"),9.0)</f>
        <v>9</v>
      </c>
      <c r="B339" s="22">
        <f>IFERROR(__xludf.DUMMYFUNCTION("""COMPUTED_VALUE"""),9.0)</f>
        <v>9</v>
      </c>
      <c r="C339" s="2" t="str">
        <f>IFERROR(__xludf.DUMMYFUNCTION("""COMPUTED_VALUE"""),"R1 / R3")</f>
        <v>R1 / R3</v>
      </c>
      <c r="D339" s="22" t="str">
        <f>IFERROR(__xludf.DUMMYFUNCTION("""COMPUTED_VALUE"""),"Tool / Technology")</f>
        <v>Tool / Technology</v>
      </c>
      <c r="E339" s="46" t="str">
        <f>IFERROR(__xludf.DUMMYFUNCTION("if(or(QuotesCheckJudge="""",and(QuotesCheckJudge = ""primeiro"", QuotesCheckChallengeRecommendation1 &lt;&gt; """")), filter('Quotes-Check'!E339:F339, 'Quotes-Check'!E339:F339&lt;&gt;""glugluieie""),if(and(QuotesCheckJudge = ""segundo"", QuotesCheckChallengeRecommend"&amp;"ation2 &lt;&gt; """"), filter('Quotes-Check'!I339:J339, 'Quotes-Check'!I339:J339&lt;&gt;""glugluieie""),""""))"),"recommendation")</f>
        <v>recommendation</v>
      </c>
      <c r="F339" s="22" t="str">
        <f>IFERROR(__xludf.DUMMYFUNCTION("""COMPUTED_VALUE"""),"I try to pick a few key ones.")</f>
        <v>I try to pick a few key ones.</v>
      </c>
      <c r="G339" s="22" t="str">
        <f>if(QuotesCheckJudgeAbstract&lt;&gt;"",QuotesCheckJudgeAbstract,if(or(QuotesCheckJudge="",and(QuotesCheckJudge = "primeiro", QuotesCheckChallengeRecommendation1 &lt;&gt; "")), QuotesCheckAbstract1,if(and(QuotesCheckJudge = "segundo", QuotesCheckChallengeRecommendation2 &lt;&gt; ""), QuotesCheckAbstract2,"")))</f>
        <v>Use few key tools.</v>
      </c>
    </row>
    <row r="340">
      <c r="A340" s="22">
        <f>IFERROR(__xludf.DUMMYFUNCTION("if(or(QuotesCheckJudge="""",and(QuotesCheckJudge = ""primeiro"", QuotesCheckChallengeRecommendation1 &lt;&gt; """"),and(QuotesCheckJudge = ""segundo"", QuotesCheckChallengeRecommendation2 &lt;&gt; """")), filter('Quotes-Check'!A340:D340, 'Quotes-Check'!A340:D340&lt;&gt;""g"&amp;"lugluieie""),"""")"),9.0)</f>
        <v>9</v>
      </c>
      <c r="B340" s="22">
        <f>IFERROR(__xludf.DUMMYFUNCTION("""COMPUTED_VALUE"""),9.0)</f>
        <v>9</v>
      </c>
      <c r="C340" s="2" t="str">
        <f>IFERROR(__xludf.DUMMYFUNCTION("""COMPUTED_VALUE"""),"R1 / R3")</f>
        <v>R1 / R3</v>
      </c>
      <c r="D340" s="22" t="str">
        <f>IFERROR(__xludf.DUMMYFUNCTION("""COMPUTED_VALUE"""),"Tool / Technology")</f>
        <v>Tool / Technology</v>
      </c>
      <c r="E340" s="46" t="str">
        <f>IFERROR(__xludf.DUMMYFUNCTION("if(or(QuotesCheckJudge="""",and(QuotesCheckJudge = ""primeiro"", QuotesCheckChallengeRecommendation1 &lt;&gt; """")), filter('Quotes-Check'!E340:F340, 'Quotes-Check'!E340:F340&lt;&gt;""glugluieie""),if(and(QuotesCheckJudge = ""segundo"", QuotesCheckChallengeRecommend"&amp;"ation2 &lt;&gt; """"), filter('Quotes-Check'!I340:J340, 'Quotes-Check'!I340:J340&lt;&gt;""glugluieie""),""""))"),"recommendation")</f>
        <v>recommendation</v>
      </c>
      <c r="F340" s="22" t="str">
        <f>IFERROR(__xludf.DUMMYFUNCTION("""COMPUTED_VALUE"""),"I use GitHub and they have options for professors, you know, for academic use, where you can set up these GitHub classrooms. I use those constantly, um, and they work very, very well because again, I can kind of control who gets what I can see, everything"&amp;" I can help individuals through things works great.")</f>
        <v>I use GitHub and they have options for professors, you know, for academic use, where you can set up these GitHub classrooms. I use those constantly, um, and they work very, very well because again, I can kind of control who gets what I can see, everything I can help individuals through things works great.</v>
      </c>
      <c r="G340" s="22" t="str">
        <f>if(QuotesCheckJudgeAbstract&lt;&gt;"",QuotesCheckJudgeAbstract,if(or(QuotesCheckJudge="",and(QuotesCheckJudge = "primeiro", QuotesCheckChallengeRecommendation1 &lt;&gt; "")), QuotesCheckAbstract1,if(and(QuotesCheckJudge = "segundo", QuotesCheckChallengeRecommendation2 &lt;&gt; ""), QuotesCheckAbstract2,"")))</f>
        <v>Use Github for academic use where you can set up GitHub classrooms.</v>
      </c>
    </row>
    <row r="341">
      <c r="A341" s="22">
        <f>IFERROR(__xludf.DUMMYFUNCTION("if(or(QuotesCheckJudge="""",and(QuotesCheckJudge = ""primeiro"", QuotesCheckChallengeRecommendation1 &lt;&gt; """"),and(QuotesCheckJudge = ""segundo"", QuotesCheckChallengeRecommendation2 &lt;&gt; """")), filter('Quotes-Check'!A341:D341, 'Quotes-Check'!A341:D341&lt;&gt;""g"&amp;"lugluieie""),"""")"),9.0)</f>
        <v>9</v>
      </c>
      <c r="B341" s="22">
        <f>IFERROR(__xludf.DUMMYFUNCTION("""COMPUTED_VALUE"""),9.0)</f>
        <v>9</v>
      </c>
      <c r="C341" s="2" t="str">
        <f>IFERROR(__xludf.DUMMYFUNCTION("""COMPUTED_VALUE"""),"R1 / R3")</f>
        <v>R1 / R3</v>
      </c>
      <c r="D341" s="22" t="str">
        <f>IFERROR(__xludf.DUMMYFUNCTION("""COMPUTED_VALUE"""),"Tool / Technology")</f>
        <v>Tool / Technology</v>
      </c>
      <c r="E341" s="46" t="str">
        <f>IFERROR(__xludf.DUMMYFUNCTION("if(or(QuotesCheckJudge="""",and(QuotesCheckJudge = ""primeiro"", QuotesCheckChallengeRecommendation1 &lt;&gt; """")), filter('Quotes-Check'!E341:F341, 'Quotes-Check'!E341:F341&lt;&gt;""glugluieie""),if(and(QuotesCheckJudge = ""segundo"", QuotesCheckChallengeRecommend"&amp;"ation2 &lt;&gt; """"), filter('Quotes-Check'!I341:J341, 'Quotes-Check'!I341:J341&lt;&gt;""glugluieie""),""""))"),"recommendation")</f>
        <v>recommendation</v>
      </c>
      <c r="F341" s="22" t="str">
        <f>IFERROR(__xludf.DUMMYFUNCTION("""COMPUTED_VALUE"""),"I will pick one, usually one, although I'll usually compare and contrast against a couple of others, something in the around of automated builds.")</f>
        <v>I will pick one, usually one, although I'll usually compare and contrast against a couple of others, something in the around of automated builds.</v>
      </c>
      <c r="G341" s="22" t="str">
        <f>if(QuotesCheckJudgeAbstract&lt;&gt;"",QuotesCheckJudgeAbstract,if(or(QuotesCheckJudge="",and(QuotesCheckJudge = "primeiro", QuotesCheckChallengeRecommendation1 &lt;&gt; "")), QuotesCheckAbstract1,if(and(QuotesCheckJudge = "segundo", QuotesCheckChallengeRecommendation2 &lt;&gt; ""), QuotesCheckAbstract2,"")))</f>
        <v>Compare and contrast the tools before to choice.</v>
      </c>
    </row>
    <row r="342">
      <c r="A342" s="22">
        <f>IFERROR(__xludf.DUMMYFUNCTION("if(or(QuotesCheckJudge="""",and(QuotesCheckJudge = ""primeiro"", QuotesCheckChallengeRecommendation1 &lt;&gt; """"),and(QuotesCheckJudge = ""segundo"", QuotesCheckChallengeRecommendation2 &lt;&gt; """")), filter('Quotes-Check'!A342:D342, 'Quotes-Check'!A342:D342&lt;&gt;""g"&amp;"lugluieie""),"""")"),9.0)</f>
        <v>9</v>
      </c>
      <c r="B342" s="22">
        <f>IFERROR(__xludf.DUMMYFUNCTION("""COMPUTED_VALUE"""),10.0)</f>
        <v>10</v>
      </c>
      <c r="C342" s="2" t="str">
        <f>IFERROR(__xludf.DUMMYFUNCTION("""COMPUTED_VALUE"""),"R1 / R3")</f>
        <v>R1 / R3</v>
      </c>
      <c r="D342" s="22" t="str">
        <f>IFERROR(__xludf.DUMMYFUNCTION("""COMPUTED_VALUE"""),"Tool / Technology")</f>
        <v>Tool / Technology</v>
      </c>
      <c r="E342" s="46" t="str">
        <f>IFERROR(__xludf.DUMMYFUNCTION("if(or(QuotesCheckJudge="""",and(QuotesCheckJudge = ""primeiro"", QuotesCheckChallengeRecommendation1 &lt;&gt; """")), filter('Quotes-Check'!E342:F342, 'Quotes-Check'!E342:F342&lt;&gt;""glugluieie""),if(and(QuotesCheckJudge = ""segundo"", QuotesCheckChallengeRecommend"&amp;"ation2 &lt;&gt; """"), filter('Quotes-Check'!I342:J342, 'Quotes-Check'!I342:J342&lt;&gt;""glugluieie""),""""))"),"recommendation")</f>
        <v>recommendation</v>
      </c>
      <c r="F342" s="22" t="str">
        <f>IFERROR(__xludf.DUMMYFUNCTION("""COMPUTED_VALUE"""),"I try to use cloud providers, you know, kind of cloud SAS providers for that sort of thing, because I don't want people to spend a lot of time getting the stuff stood up.")</f>
        <v>I try to use cloud providers, you know, kind of cloud SAS providers for that sort of thing, because I don't want people to spend a lot of time getting the stuff stood up.</v>
      </c>
      <c r="G342" s="22" t="str">
        <f>if(QuotesCheckJudgeAbstract&lt;&gt;"",QuotesCheckJudgeAbstract,if(or(QuotesCheckJudge="",and(QuotesCheckJudge = "primeiro", QuotesCheckChallengeRecommendation1 &lt;&gt; "")), QuotesCheckAbstract1,if(and(QuotesCheckJudge = "segundo", QuotesCheckChallengeRecommendation2 &lt;&gt; ""), QuotesCheckAbstract2,"")))</f>
        <v>Use cloud SAS providers to avoid spending a lot of time installations and configurations.</v>
      </c>
    </row>
    <row r="343">
      <c r="A343" s="22">
        <f>IFERROR(__xludf.DUMMYFUNCTION("if(or(QuotesCheckJudge="""",and(QuotesCheckJudge = ""primeiro"", QuotesCheckChallengeRecommendation1 &lt;&gt; """"),and(QuotesCheckJudge = ""segundo"", QuotesCheckChallengeRecommendation2 &lt;&gt; """")), filter('Quotes-Check'!A343:D343, 'Quotes-Check'!A343:D343&lt;&gt;""g"&amp;"lugluieie""),"""")"),9.0)</f>
        <v>9</v>
      </c>
      <c r="B343" s="22">
        <f>IFERROR(__xludf.DUMMYFUNCTION("""COMPUTED_VALUE"""),10.0)</f>
        <v>10</v>
      </c>
      <c r="C343" s="2" t="str">
        <f>IFERROR(__xludf.DUMMYFUNCTION("""COMPUTED_VALUE"""),"R1 / R3")</f>
        <v>R1 / R3</v>
      </c>
      <c r="D343" s="22" t="str">
        <f>IFERROR(__xludf.DUMMYFUNCTION("""COMPUTED_VALUE"""),"Tool / Technology")</f>
        <v>Tool / Technology</v>
      </c>
      <c r="E343" s="46" t="str">
        <f>IFERROR(__xludf.DUMMYFUNCTION("if(or(QuotesCheckJudge="""",and(QuotesCheckJudge = ""primeiro"", QuotesCheckChallengeRecommendation1 &lt;&gt; """")), filter('Quotes-Check'!E343:F343, 'Quotes-Check'!E343:F343&lt;&gt;""glugluieie""),if(and(QuotesCheckJudge = ""segundo"", QuotesCheckChallengeRecommend"&amp;"ation2 &lt;&gt; """"), filter('Quotes-Check'!I343:J343, 'Quotes-Check'!I343:J343&lt;&gt;""glugluieie""),""""))"),"recommendation")</f>
        <v>recommendation</v>
      </c>
      <c r="F343" s="22" t="str">
        <f>IFERROR(__xludf.DUMMYFUNCTION("""COMPUTED_VALUE""")," I used to have people stand up during Jenkins instances to do the work, but that just at the end of the day, that's a distraction. My goal is not to teach them how to administer Jenkins.")</f>
        <v> I used to have people stand up during Jenkins instances to do the work, but that just at the end of the day, that's a distraction. My goal is not to teach them how to administer Jenkins.</v>
      </c>
      <c r="G343" s="22" t="str">
        <f>if(QuotesCheckJudgeAbstract&lt;&gt;"",QuotesCheckJudgeAbstract,if(or(QuotesCheckJudge="",and(QuotesCheckJudge = "primeiro", QuotesCheckChallengeRecommendation1 &lt;&gt; "")), QuotesCheckAbstract1,if(and(QuotesCheckJudge = "segundo", QuotesCheckChallengeRecommendation2 &lt;&gt; ""), QuotesCheckAbstract2,"")))</f>
        <v>Do not focus on unnecessary features of tools like avoid administering Jenkins if you want to practice continuous integration.</v>
      </c>
    </row>
    <row r="344">
      <c r="A344" s="22">
        <f>IFERROR(__xludf.DUMMYFUNCTION("if(or(QuotesCheckJudge="""",and(QuotesCheckJudge = ""primeiro"", QuotesCheckChallengeRecommendation1 &lt;&gt; """"),and(QuotesCheckJudge = ""segundo"", QuotesCheckChallengeRecommendation2 &lt;&gt; """")), filter('Quotes-Check'!A344:D344, 'Quotes-Check'!A344:D344&lt;&gt;""g"&amp;"lugluieie""),"""")"),9.0)</f>
        <v>9</v>
      </c>
      <c r="B344" s="22">
        <f>IFERROR(__xludf.DUMMYFUNCTION("""COMPUTED_VALUE"""),10.0)</f>
        <v>10</v>
      </c>
      <c r="C344" s="2" t="str">
        <f>IFERROR(__xludf.DUMMYFUNCTION("""COMPUTED_VALUE"""),"R1 / R3")</f>
        <v>R1 / R3</v>
      </c>
      <c r="D344" s="22" t="str">
        <f>IFERROR(__xludf.DUMMYFUNCTION("""COMPUTED_VALUE"""),"Tool / Technology")</f>
        <v>Tool / Technology</v>
      </c>
      <c r="E344" s="46" t="str">
        <f>IFERROR(__xludf.DUMMYFUNCTION("if(or(QuotesCheckJudge="""",and(QuotesCheckJudge = ""primeiro"", QuotesCheckChallengeRecommendation1 &lt;&gt; """")), filter('Quotes-Check'!E344:F344, 'Quotes-Check'!E344:F344&lt;&gt;""glugluieie""),if(and(QuotesCheckJudge = ""segundo"", QuotesCheckChallengeRecommend"&amp;"ation2 &lt;&gt; """"), filter('Quotes-Check'!I344:J344, 'Quotes-Check'!I344:J344&lt;&gt;""glugluieie""),""""))"),"recommendation")</f>
        <v>recommendation</v>
      </c>
      <c r="F344" s="22" t="str">
        <f>IFERROR(__xludf.DUMMYFUNCTION("""COMPUTED_VALUE"""),"I tend to focus on gradle, but I also will link that to say a comparison against Maven and ant to provide some context for how we got here, why we got here")</f>
        <v>I tend to focus on gradle, but I also will link that to say a comparison against Maven and ant to provide some context for how we got here, why we got here</v>
      </c>
      <c r="G344" s="22" t="str">
        <f>if(QuotesCheckJudgeAbstract&lt;&gt;"",QuotesCheckJudgeAbstract,if(or(QuotesCheckJudge="",and(QuotesCheckJudge = "primeiro", QuotesCheckChallengeRecommendation1 &lt;&gt; "")), QuotesCheckAbstract1,if(and(QuotesCheckJudge = "segundo", QuotesCheckChallengeRecommendation2 &lt;&gt; ""), QuotesCheckAbstract2,"")))</f>
        <v>Show the evolution of the tools like exposing from ant and maven to gradle tool in build managment.</v>
      </c>
    </row>
    <row r="345">
      <c r="A345" s="22">
        <f>IFERROR(__xludf.DUMMYFUNCTION("if(or(QuotesCheckJudge="""",and(QuotesCheckJudge = ""primeiro"", QuotesCheckChallengeRecommendation1 &lt;&gt; """"),and(QuotesCheckJudge = ""segundo"", QuotesCheckChallengeRecommendation2 &lt;&gt; """")), filter('Quotes-Check'!A345:D345, 'Quotes-Check'!A345:D345&lt;&gt;""g"&amp;"lugluieie""),"""")"),9.0)</f>
        <v>9</v>
      </c>
      <c r="B345" s="22">
        <f>IFERROR(__xludf.DUMMYFUNCTION("""COMPUTED_VALUE"""),11.0)</f>
        <v>11</v>
      </c>
      <c r="C345" s="2" t="str">
        <f>IFERROR(__xludf.DUMMYFUNCTION("""COMPUTED_VALUE"""),"R1 / R2")</f>
        <v>R1 / R2</v>
      </c>
      <c r="D345" s="22" t="str">
        <f>IFERROR(__xludf.DUMMYFUNCTION("""COMPUTED_VALUE"""),"Tool / Technology")</f>
        <v>Tool / Technology</v>
      </c>
      <c r="E345" s="46" t="str">
        <f>IFERROR(__xludf.DUMMYFUNCTION("if(or(QuotesCheckJudge="""",and(QuotesCheckJudge = ""primeiro"", QuotesCheckChallengeRecommendation1 &lt;&gt; """")), filter('Quotes-Check'!E345:F345, 'Quotes-Check'!E345:F345&lt;&gt;""glugluieie""),if(and(QuotesCheckJudge = ""segundo"", QuotesCheckChallengeRecommend"&amp;"ation2 &lt;&gt; """"), filter('Quotes-Check'!I345:J345, 'Quotes-Check'!I345:J345&lt;&gt;""glugluieie""),""""))"),"recommendation")</f>
        <v>recommendation</v>
      </c>
      <c r="F345" s="22" t="str">
        <f>IFERROR(__xludf.DUMMYFUNCTION("""COMPUTED_VALUE"""),"I simply want them to be able to set up some kind of a pipeline and understand how it works.")</f>
        <v>I simply want them to be able to set up some kind of a pipeline and understand how it works.</v>
      </c>
      <c r="G345" s="22" t="str">
        <f>if(QuotesCheckJudgeAbstract&lt;&gt;"",QuotesCheckJudgeAbstract,if(or(QuotesCheckJudge="",and(QuotesCheckJudge = "primeiro", QuotesCheckChallengeRecommendation1 &lt;&gt; "")), QuotesCheckAbstract1,if(and(QuotesCheckJudge = "segundo", QuotesCheckChallengeRecommendation2 &lt;&gt; ""), QuotesCheckAbstract2,"")))</f>
        <v>Teach how to set up a pipeline and explain how it works.</v>
      </c>
    </row>
    <row r="346">
      <c r="A346" s="22">
        <f>IFERROR(__xludf.DUMMYFUNCTION("if(or(QuotesCheckJudge="""",and(QuotesCheckJudge = ""primeiro"", QuotesCheckChallengeRecommendation1 &lt;&gt; """"),and(QuotesCheckJudge = ""segundo"", QuotesCheckChallengeRecommendation2 &lt;&gt; """")), filter('Quotes-Check'!A346:D346, 'Quotes-Check'!A346:D346&lt;&gt;""g"&amp;"lugluieie""),"""")"),9.0)</f>
        <v>9</v>
      </c>
      <c r="B346" s="22">
        <f>IFERROR(__xludf.DUMMYFUNCTION("""COMPUTED_VALUE"""),11.0)</f>
        <v>11</v>
      </c>
      <c r="C346" s="2" t="str">
        <f>IFERROR(__xludf.DUMMYFUNCTION("""COMPUTED_VALUE"""),"R1 / R2")</f>
        <v>R1 / R2</v>
      </c>
      <c r="D346" s="22" t="str">
        <f>IFERROR(__xludf.DUMMYFUNCTION("""COMPUTED_VALUE"""),"Tool / Technology")</f>
        <v>Tool / Technology</v>
      </c>
      <c r="E346" s="46" t="str">
        <f>IFERROR(__xludf.DUMMYFUNCTION("if(or(QuotesCheckJudge="""",and(QuotesCheckJudge = ""primeiro"", QuotesCheckChallengeRecommendation1 &lt;&gt; """")), filter('Quotes-Check'!E346:F346, 'Quotes-Check'!E346:F346&lt;&gt;""glugluieie""),if(and(QuotesCheckJudge = ""segundo"", QuotesCheckChallengeRecommend"&amp;"ation2 &lt;&gt; """"), filter('Quotes-Check'!I346:J346, 'Quotes-Check'!I346:J346&lt;&gt;""glugluieie""),""""))"),"recommendation")</f>
        <v>recommendation</v>
      </c>
      <c r="F346" s="22" t="str">
        <f>IFERROR(__xludf.DUMMYFUNCTION("""COMPUTED_VALUE"""),"I'm having conversations with the university about trying to take the devops course and essentially converting it to a three course sequence one for agile, one for kind of the dev part of devops and one for the ops part of devops")</f>
        <v>I'm having conversations with the university about trying to take the devops course and essentially converting it to a three course sequence one for agile, one for kind of the dev part of devops and one for the ops part of devops</v>
      </c>
      <c r="G346" s="22" t="str">
        <f>if(QuotesCheckJudgeAbstract&lt;&gt;"",QuotesCheckJudgeAbstract,if(or(QuotesCheckJudge="",and(QuotesCheckJudge = "primeiro", QuotesCheckChallengeRecommendation1 &lt;&gt; "")), QuotesCheckAbstract1,if(and(QuotesCheckJudge = "segundo", QuotesCheckChallengeRecommendation2 &lt;&gt; ""), QuotesCheckAbstract2,"")))</f>
        <v>Separate the dev and ops part into different courses.</v>
      </c>
    </row>
    <row r="347">
      <c r="A347" s="22">
        <f>IFERROR(__xludf.DUMMYFUNCTION("if(or(QuotesCheckJudge="""",and(QuotesCheckJudge = ""primeiro"", QuotesCheckChallengeRecommendation1 &lt;&gt; """"),and(QuotesCheckJudge = ""segundo"", QuotesCheckChallengeRecommendation2 &lt;&gt; """")), filter('Quotes-Check'!A347:D347, 'Quotes-Check'!A347:D347&lt;&gt;""g"&amp;"lugluieie""),"""")"),9.0)</f>
        <v>9</v>
      </c>
      <c r="B347" s="22">
        <f>IFERROR(__xludf.DUMMYFUNCTION("""COMPUTED_VALUE"""),11.0)</f>
        <v>11</v>
      </c>
      <c r="C347" s="2" t="str">
        <f>IFERROR(__xludf.DUMMYFUNCTION("""COMPUTED_VALUE"""),"R1 / R2")</f>
        <v>R1 / R2</v>
      </c>
      <c r="D347" s="22" t="str">
        <f>IFERROR(__xludf.DUMMYFUNCTION("""COMPUTED_VALUE"""),"Tool / Technology")</f>
        <v>Tool / Technology</v>
      </c>
      <c r="E347" s="46" t="str">
        <f>IFERROR(__xludf.DUMMYFUNCTION("if(or(QuotesCheckJudge="""",and(QuotesCheckJudge = ""primeiro"", QuotesCheckChallengeRecommendation1 &lt;&gt; """")), filter('Quotes-Check'!E347:F347, 'Quotes-Check'!E347:F347&lt;&gt;""glugluieie""),if(and(QuotesCheckJudge = ""segundo"", QuotesCheckChallengeRecommend"&amp;"ation2 &lt;&gt; """"), filter('Quotes-Check'!I347:J347, 'Quotes-Check'!I347:J347&lt;&gt;""glugluieie""),""""))"),"challenge")</f>
        <v>challenge</v>
      </c>
      <c r="F347" s="22" t="str">
        <f>IFERROR(__xludf.DUMMYFUNCTION("""COMPUTED_VALUE"""),"because in though in the ops part, and this is the stuff I typically don't have as much time for simply because I know most of the students are coming from the software development side of the house.")</f>
        <v>because in though in the ops part, and this is the stuff I typically don't have as much time for simply because I know most of the students are coming from the software development side of the house.</v>
      </c>
      <c r="G347" s="22" t="str">
        <f>if(QuotesCheckJudgeAbstract&lt;&gt;"",QuotesCheckJudgeAbstract,if(or(QuotesCheckJudge="",and(QuotesCheckJudge = "primeiro", QuotesCheckChallengeRecommendation1 &lt;&gt; "")), QuotesCheckAbstract1,if(and(QuotesCheckJudge = "segundo", QuotesCheckChallengeRecommendation2 &lt;&gt; ""), QuotesCheckAbstract2,"")))</f>
        <v>In devops course with dev and ops together, ops part are not touched because dev parts take a lot of time</v>
      </c>
    </row>
    <row r="348">
      <c r="A348" s="22">
        <f>IFERROR(__xludf.DUMMYFUNCTION("if(or(QuotesCheckJudge="""",and(QuotesCheckJudge = ""primeiro"", QuotesCheckChallengeRecommendation1 &lt;&gt; """"),and(QuotesCheckJudge = ""segundo"", QuotesCheckChallengeRecommendation2 &lt;&gt; """")), filter('Quotes-Check'!A348:D348, 'Quotes-Check'!A348:D348&lt;&gt;""g"&amp;"lugluieie""),"""")"),9.0)</f>
        <v>9</v>
      </c>
      <c r="B348" s="22">
        <f>IFERROR(__xludf.DUMMYFUNCTION("""COMPUTED_VALUE"""),11.0)</f>
        <v>11</v>
      </c>
      <c r="C348" s="2" t="str">
        <f>IFERROR(__xludf.DUMMYFUNCTION("""COMPUTED_VALUE"""),"R1 / R2")</f>
        <v>R1 / R2</v>
      </c>
      <c r="D348" s="22" t="str">
        <f>IFERROR(__xludf.DUMMYFUNCTION("""COMPUTED_VALUE"""),"Tool / Technology")</f>
        <v>Tool / Technology</v>
      </c>
      <c r="E348" s="46" t="str">
        <f>IFERROR(__xludf.DUMMYFUNCTION("if(or(QuotesCheckJudge="""",and(QuotesCheckJudge = ""primeiro"", QuotesCheckChallengeRecommendation1 &lt;&gt; """")), filter('Quotes-Check'!E348:F348, 'Quotes-Check'!E348:F348&lt;&gt;""glugluieie""),if(and(QuotesCheckJudge = ""segundo"", QuotesCheckChallengeRecommend"&amp;"ation2 &lt;&gt; """"), filter('Quotes-Check'!I348:J348, 'Quotes-Check'!I348:J348&lt;&gt;""glugluieie""),""""))"),"recommendation")</f>
        <v>recommendation</v>
      </c>
      <c r="F348" s="22" t="str">
        <f>IFERROR(__xludf.DUMMYFUNCTION("""COMPUTED_VALUE"""),"I will touch on, uh, database migrations. And so I may break out a tool like flyway to demonstrate how even databases are not necessarily exempt from being able to apply devops principles, including, you know, database infrastructure is covered and, and t"&amp;"hat sort of thing. So I cannot possibly get through everything.")</f>
        <v>I will touch on, uh, database migrations. And so I may break out a tool like flyway to demonstrate how even databases are not necessarily exempt from being able to apply devops principles, including, you know, database infrastructure is covered and, and that sort of thing. So I cannot possibly get through everything.</v>
      </c>
      <c r="G348" s="22" t="str">
        <f>if(QuotesCheckJudgeAbstract&lt;&gt;"",QuotesCheckJudgeAbstract,if(or(QuotesCheckJudge="",and(QuotesCheckJudge = "primeiro", QuotesCheckChallengeRecommendation1 &lt;&gt; "")), QuotesCheckAbstract1,if(and(QuotesCheckJudge = "segundo", QuotesCheckChallengeRecommendation2 &lt;&gt; ""), QuotesCheckAbstract2,"")))</f>
        <v>You cannot possibly get through everything in details.</v>
      </c>
    </row>
    <row r="349">
      <c r="A349" s="22">
        <f>IFERROR(__xludf.DUMMYFUNCTION("if(or(QuotesCheckJudge="""",and(QuotesCheckJudge = ""primeiro"", QuotesCheckChallengeRecommendation1 &lt;&gt; """"),and(QuotesCheckJudge = ""segundo"", QuotesCheckChallengeRecommendation2 &lt;&gt; """")), filter('Quotes-Check'!A349:D349, 'Quotes-Check'!A349:D349&lt;&gt;""g"&amp;"lugluieie""),"""")"),9.0)</f>
        <v>9</v>
      </c>
      <c r="B349" s="22">
        <f>IFERROR(__xludf.DUMMYFUNCTION("""COMPUTED_VALUE"""),12.0)</f>
        <v>12</v>
      </c>
      <c r="C349" s="2" t="str">
        <f>IFERROR(__xludf.DUMMYFUNCTION("""COMPUTED_VALUE"""),"R2 / R3")</f>
        <v>R2 / R3</v>
      </c>
      <c r="D349" s="22" t="str">
        <f>IFERROR(__xludf.DUMMYFUNCTION("""COMPUTED_VALUE"""),"Tool / Technology")</f>
        <v>Tool / Technology</v>
      </c>
      <c r="E349" s="46" t="str">
        <f>IFERROR(__xludf.DUMMYFUNCTION("if(or(QuotesCheckJudge="""",and(QuotesCheckJudge = ""primeiro"", QuotesCheckChallengeRecommendation1 &lt;&gt; """")), filter('Quotes-Check'!E349:F349, 'Quotes-Check'!E349:F349&lt;&gt;""glugluieie""),if(and(QuotesCheckJudge = ""segundo"", QuotesCheckChallengeRecommend"&amp;"ation2 &lt;&gt; """"), filter('Quotes-Check'!I349:J349, 'Quotes-Check'!I349:J349&lt;&gt;""glugluieie""),""""))"),"recommendation")</f>
        <v>recommendation</v>
      </c>
      <c r="F349" s="22" t="str">
        <f>IFERROR(__xludf.DUMMYFUNCTION("""COMPUTED_VALUE"""),"Setting up good logging monitoring notifications, some of these other open source tools that provide that kind of those kinds of capabilities. ... So I try to pick a representative sample open source, always cause I don't want people to be buying things.")</f>
        <v>Setting up good logging monitoring notifications, some of these other open source tools that provide that kind of those kinds of capabilities. ... So I try to pick a representative sample open source, always cause I don't want people to be buying things.</v>
      </c>
      <c r="G349" s="22" t="str">
        <f>if(QuotesCheckJudgeAbstract&lt;&gt;"",QuotesCheckJudgeAbstract,if(or(QuotesCheckJudge="",and(QuotesCheckJudge = "primeiro", QuotesCheckChallengeRecommendation1 &lt;&gt; "")), QuotesCheckAbstract1,if(and(QuotesCheckJudge = "segundo", QuotesCheckChallengeRecommendation2 &lt;&gt; ""), QuotesCheckAbstract2,"")))</f>
        <v>Use representative open source industrial tools.</v>
      </c>
    </row>
    <row r="350">
      <c r="A350" s="22">
        <f>IFERROR(__xludf.DUMMYFUNCTION("if(or(QuotesCheckJudge="""",and(QuotesCheckJudge = ""primeiro"", QuotesCheckChallengeRecommendation1 &lt;&gt; """"),and(QuotesCheckJudge = ""segundo"", QuotesCheckChallengeRecommendation2 &lt;&gt; """")), filter('Quotes-Check'!A350:D350, 'Quotes-Check'!A350:D350&lt;&gt;""g"&amp;"lugluieie""),"""")"),9.0)</f>
        <v>9</v>
      </c>
      <c r="B350" s="22">
        <f>IFERROR(__xludf.DUMMYFUNCTION("""COMPUTED_VALUE"""),13.0)</f>
        <v>13</v>
      </c>
      <c r="C350" s="2" t="str">
        <f>IFERROR(__xludf.DUMMYFUNCTION("""COMPUTED_VALUE"""),"R1 / R3")</f>
        <v>R1 / R3</v>
      </c>
      <c r="D350" s="22" t="str">
        <f>IFERROR(__xludf.DUMMYFUNCTION("""COMPUTED_VALUE"""),"DevOps Concepts")</f>
        <v>DevOps Concepts</v>
      </c>
      <c r="E350" s="46" t="str">
        <f>IFERROR(__xludf.DUMMYFUNCTION("if(or(QuotesCheckJudge="""",and(QuotesCheckJudge = ""primeiro"", QuotesCheckChallengeRecommendation1 &lt;&gt; """")), filter('Quotes-Check'!E350:F350, 'Quotes-Check'!E350:F350&lt;&gt;""glugluieie""),if(and(QuotesCheckJudge = ""segundo"", QuotesCheckChallengeRecommend"&amp;"ation2 &lt;&gt; """"), filter('Quotes-Check'!I350:J350, 'Quotes-Check'!I350:J350&lt;&gt;""glugluieie""),""""))"),"challenge")</f>
        <v>challenge</v>
      </c>
      <c r="F350" s="22" t="str">
        <f>IFERROR(__xludf.DUMMYFUNCTION("""COMPUTED_VALUE"""),"a lot of the folks who are attending the course are not at a level in the organization where they can actually affect culture [...] they are usually technologists and so they can very easily understand how they can affect things like technology decisions "&amp;"and the application of technology. But many of them are not, let's say at manager or director or senior director VP levels or things like that will, they can actually affect more senior levels of challenge there.")</f>
        <v>a lot of the folks who are attending the course are not at a level in the organization where they can actually affect culture [...] they are usually technologists and so they can very easily understand how they can affect things like technology decisions and the application of technology. But many of them are not, let's say at manager or director or senior director VP levels or things like that will, they can actually affect more senior levels of challenge there.</v>
      </c>
      <c r="G350" s="22" t="str">
        <f>if(QuotesCheckJudgeAbstract&lt;&gt;"",QuotesCheckJudgeAbstract,if(or(QuotesCheckJudge="",and(QuotesCheckJudge = "primeiro", QuotesCheckChallengeRecommendation1 &lt;&gt; "")), QuotesCheckAbstract1,if(and(QuotesCheckJudge = "segundo", QuotesCheckChallengeRecommendation2 &lt;&gt; ""), QuotesCheckAbstract2,"")))</f>
        <v>Students are not at a level in the their companies where they can introduce DevOps mindset.</v>
      </c>
    </row>
    <row r="351">
      <c r="A351" s="22">
        <f>IFERROR(__xludf.DUMMYFUNCTION("if(or(QuotesCheckJudge="""",and(QuotesCheckJudge = ""primeiro"", QuotesCheckChallengeRecommendation1 &lt;&gt; """"),and(QuotesCheckJudge = ""segundo"", QuotesCheckChallengeRecommendation2 &lt;&gt; """")), filter('Quotes-Check'!A351:D351, 'Quotes-Check'!A351:D351&lt;&gt;""g"&amp;"lugluieie""),"""")"),9.0)</f>
        <v>9</v>
      </c>
      <c r="B351" s="22">
        <f>IFERROR(__xludf.DUMMYFUNCTION("""COMPUTED_VALUE"""),14.0)</f>
        <v>14</v>
      </c>
      <c r="C351" s="2" t="str">
        <f>IFERROR(__xludf.DUMMYFUNCTION("""COMPUTED_VALUE"""),"R1 / R3")</f>
        <v>R1 / R3</v>
      </c>
      <c r="D351" s="22" t="str">
        <f>IFERROR(__xludf.DUMMYFUNCTION("""COMPUTED_VALUE"""),"DevOps Concepts")</f>
        <v>DevOps Concepts</v>
      </c>
      <c r="E351" s="46" t="str">
        <f>IFERROR(__xludf.DUMMYFUNCTION("if(or(QuotesCheckJudge="""",and(QuotesCheckJudge = ""primeiro"", QuotesCheckChallengeRecommendation1 &lt;&gt; """")), filter('Quotes-Check'!E351:F351, 'Quotes-Check'!E351:F351&lt;&gt;""glugluieie""),if(and(QuotesCheckJudge = ""segundo"", QuotesCheckChallengeRecommend"&amp;"ation2 &lt;&gt; """"), filter('Quotes-Check'!I351:J351, 'Quotes-Check'!I351:J351&lt;&gt;""glugluieie""),""""))"),"recommendation")</f>
        <v>recommendation</v>
      </c>
      <c r="F351" s="22" t="str">
        <f>IFERROR(__xludf.DUMMYFUNCTION("""COMPUTED_VALUE"""),"And that level of what you're trying to do is to build a business case for why you want that at all. And now you're starting to get a little bit around of the computer science and into around of business and being able to tie those two things together in "&amp;"such a way that you can sell it to an organization that would have to spend resources, people, time, energy, money, building out that kind of a technical pipeline, right? 
 ... you have to somehow sell them on why you should spend your sources doing that "&amp;"versus building a new feature or adding a new product or any one of a number of other competing priorities that the business has.")</f>
        <v>And that level of what you're trying to do is to build a business case for why you want that at all. And now you're starting to get a little bit around of the computer science and into around of business and being able to tie those two things together in such a way that you can sell it to an organization that would have to spend resources, people, time, energy, money, building out that kind of a technical pipeline, right? 
 ... you have to somehow sell them on why you should spend your sources doing that versus building a new feature or adding a new product or any one of a number of other competing priorities that the business has.</v>
      </c>
      <c r="G351" s="22" t="str">
        <f>if(QuotesCheckJudgeAbstract&lt;&gt;"",QuotesCheckJudgeAbstract,if(or(QuotesCheckJudge="",and(QuotesCheckJudge = "primeiro", QuotesCheckChallengeRecommendation1 &lt;&gt; "")), QuotesCheckAbstract1,if(and(QuotesCheckJudge = "segundo", QuotesCheckChallengeRecommendation2 &lt;&gt; ""), QuotesCheckAbstract2,"")))</f>
        <v>Teach students to know how to sell DevOps benefits to their directors who are from the business area. For example, pipeline reduce developers work time and save money. You can also build a new feature or add a new product that the business has.</v>
      </c>
    </row>
    <row r="352">
      <c r="A352" s="22">
        <f>IFERROR(__xludf.DUMMYFUNCTION("if(or(QuotesCheckJudge="""",and(QuotesCheckJudge = ""primeiro"", QuotesCheckChallengeRecommendation1 &lt;&gt; """"),and(QuotesCheckJudge = ""segundo"", QuotesCheckChallengeRecommendation2 &lt;&gt; """")), filter('Quotes-Check'!A352:D352, 'Quotes-Check'!A352:D352&lt;&gt;""g"&amp;"lugluieie""),"""")"),9.0)</f>
        <v>9</v>
      </c>
      <c r="B352" s="22">
        <f>IFERROR(__xludf.DUMMYFUNCTION("""COMPUTED_VALUE"""),14.0)</f>
        <v>14</v>
      </c>
      <c r="C352" s="2" t="str">
        <f>IFERROR(__xludf.DUMMYFUNCTION("""COMPUTED_VALUE"""),"R1 / R3")</f>
        <v>R1 / R3</v>
      </c>
      <c r="D352" s="22" t="str">
        <f>IFERROR(__xludf.DUMMYFUNCTION("""COMPUTED_VALUE"""),"DevOps Concepts")</f>
        <v>DevOps Concepts</v>
      </c>
      <c r="E352" s="46" t="str">
        <f>IFERROR(__xludf.DUMMYFUNCTION("if(or(QuotesCheckJudge="""",and(QuotesCheckJudge = ""primeiro"", QuotesCheckChallengeRecommendation1 &lt;&gt; """")), filter('Quotes-Check'!E352:F352, 'Quotes-Check'!E352:F352&lt;&gt;""glugluieie""),if(and(QuotesCheckJudge = ""segundo"", QuotesCheckChallengeRecommend"&amp;"ation2 &lt;&gt; """"), filter('Quotes-Check'!I352:J352, 'Quotes-Check'!I352:J352&lt;&gt;""glugluieie""),""""))"),"challenge")</f>
        <v>challenge</v>
      </c>
      <c r="F352" s="22" t="str">
        <f>IFERROR(__xludf.DUMMYFUNCTION("""COMPUTED_VALUE"""),"you have to make a business case. It's a lot harder to do.")</f>
        <v>you have to make a business case. It's a lot harder to do.</v>
      </c>
      <c r="G352" s="22" t="str">
        <f>if(QuotesCheckJudgeAbstract&lt;&gt;"",QuotesCheckJudgeAbstract,if(or(QuotesCheckJudge="",and(QuotesCheckJudge = "primeiro", QuotesCheckChallengeRecommendation1 &lt;&gt; "")), QuotesCheckAbstract1,if(and(QuotesCheckJudge = "segundo", QuotesCheckChallengeRecommendation2 &lt;&gt; ""), QuotesCheckAbstract2,"")))</f>
        <v>It is hard to do a business case to demonstrate the importance of running devops.</v>
      </c>
    </row>
    <row r="353">
      <c r="A353" s="22">
        <f>IFERROR(__xludf.DUMMYFUNCTION("if(or(QuotesCheckJudge="""",and(QuotesCheckJudge = ""primeiro"", QuotesCheckChallengeRecommendation1 &lt;&gt; """"),and(QuotesCheckJudge = ""segundo"", QuotesCheckChallengeRecommendation2 &lt;&gt; """")), filter('Quotes-Check'!A353:D353, 'Quotes-Check'!A353:D353&lt;&gt;""g"&amp;"lugluieie""),"""")"),9.0)</f>
        <v>9</v>
      </c>
      <c r="B353" s="22">
        <f>IFERROR(__xludf.DUMMYFUNCTION("""COMPUTED_VALUE"""),15.0)</f>
        <v>15</v>
      </c>
      <c r="C353" s="2" t="str">
        <f>IFERROR(__xludf.DUMMYFUNCTION("""COMPUTED_VALUE"""),"R1 / R3")</f>
        <v>R1 / R3</v>
      </c>
      <c r="D353" s="22" t="str">
        <f>IFERROR(__xludf.DUMMYFUNCTION("""COMPUTED_VALUE"""),"Class Preparation")</f>
        <v>Class Preparation</v>
      </c>
      <c r="E353" s="46" t="str">
        <f>IFERROR(__xludf.DUMMYFUNCTION("if(or(QuotesCheckJudge="""",and(QuotesCheckJudge = ""primeiro"", QuotesCheckChallengeRecommendation1 &lt;&gt; """")), filter('Quotes-Check'!E353:F353, 'Quotes-Check'!E353:F353&lt;&gt;""glugluieie""),if(and(QuotesCheckJudge = ""segundo"", QuotesCheckChallengeRecommend"&amp;"ation2 &lt;&gt; """"), filter('Quotes-Check'!I353:J353, 'Quotes-Check'!I353:J353&lt;&gt;""glugluieie""),""""))"),"challenge")</f>
        <v>challenge</v>
      </c>
      <c r="F353" s="22" t="str">
        <f>IFERROR(__xludf.DUMMYFUNCTION("""COMPUTED_VALUE"""),"We move through some technology on the application side, we'll move through a little bit of technology on the operation side. What does change is trying to keep up to speed and keep the class adjusted for, uh, what the current state of the art and the cur"&amp;"rent understanding of best practices.")</f>
        <v>We move through some technology on the application side, we'll move through a little bit of technology on the operation side. What does change is trying to keep up to speed and keep the class adjusted for, uh, what the current state of the art and the current understanding of best practices.</v>
      </c>
      <c r="G353" s="22" t="str">
        <f>if(QuotesCheckJudgeAbstract&lt;&gt;"",QuotesCheckJudgeAbstract,if(or(QuotesCheckJudge="",and(QuotesCheckJudge = "primeiro", QuotesCheckChallengeRecommendation1 &lt;&gt; "")), QuotesCheckAbstract1,if(and(QuotesCheckJudge = "segundo", QuotesCheckChallengeRecommendation2 &lt;&gt; ""), QuotesCheckAbstract2,"")))</f>
        <v>It is difficult to keep up the current state of art of devops industry practices.</v>
      </c>
    </row>
    <row r="354">
      <c r="A354" s="22">
        <f>IFERROR(__xludf.DUMMYFUNCTION("if(or(QuotesCheckJudge="""",and(QuotesCheckJudge = ""primeiro"", QuotesCheckChallengeRecommendation1 &lt;&gt; """"),and(QuotesCheckJudge = ""segundo"", QuotesCheckChallengeRecommendation2 &lt;&gt; """")), filter('Quotes-Check'!A354:D354, 'Quotes-Check'!A354:D354&lt;&gt;""g"&amp;"lugluieie""),"""")"),9.0)</f>
        <v>9</v>
      </c>
      <c r="B354" s="22">
        <f>IFERROR(__xludf.DUMMYFUNCTION("""COMPUTED_VALUE"""),15.0)</f>
        <v>15</v>
      </c>
      <c r="C354" s="2" t="str">
        <f>IFERROR(__xludf.DUMMYFUNCTION("""COMPUTED_VALUE"""),"R1 / R3")</f>
        <v>R1 / R3</v>
      </c>
      <c r="D354" s="22" t="str">
        <f>IFERROR(__xludf.DUMMYFUNCTION("""COMPUTED_VALUE"""),"Class Preparation")</f>
        <v>Class Preparation</v>
      </c>
      <c r="E354" s="46" t="str">
        <f>IFERROR(__xludf.DUMMYFUNCTION("if(or(QuotesCheckJudge="""",and(QuotesCheckJudge = ""primeiro"", QuotesCheckChallengeRecommendation1 &lt;&gt; """")), filter('Quotes-Check'!E354:F354, 'Quotes-Check'!E354:F354&lt;&gt;""glugluieie""),if(and(QuotesCheckJudge = ""segundo"", QuotesCheckChallengeRecommend"&amp;"ation2 &lt;&gt; """"), filter('Quotes-Check'!I354:J354, 'Quotes-Check'!I354:J354&lt;&gt;""glugluieie""),""""))"),"recommendation")</f>
        <v>recommendation</v>
      </c>
      <c r="F354" s="22" t="str">
        <f>IFERROR(__xludf.DUMMYFUNCTION("""COMPUTED_VALUE"""),"I don't think the basic skeleton of the class has really changed significantly, maybe a few places, but over the last two or three years, the, the basic structure, the scaffolding I think has held fairly true where we focus on some devops principles. We f"&amp;"ocus on concepts. We focus on goals.")</f>
        <v>I don't think the basic skeleton of the class has really changed significantly, maybe a few places, but over the last two or three years, the, the basic structure, the scaffolding I think has held fairly true where we focus on some devops principles. We focus on concepts. We focus on goals.</v>
      </c>
      <c r="G354" s="22" t="str">
        <f>if(QuotesCheckJudgeAbstract&lt;&gt;"",QuotesCheckJudgeAbstract,if(or(QuotesCheckJudge="",and(QuotesCheckJudge = "primeiro", QuotesCheckChallengeRecommendation1 &lt;&gt; "")), QuotesCheckAbstract1,if(and(QuotesCheckJudge = "segundo", QuotesCheckChallengeRecommendation2 &lt;&gt; ""), QuotesCheckAbstract2,"")))</f>
        <v>The basic skeleton of the class does not change significantly because we focus on concepts and we focus on goals.</v>
      </c>
    </row>
    <row r="355">
      <c r="A355" s="22">
        <f>IFERROR(__xludf.DUMMYFUNCTION("if(or(QuotesCheckJudge="""",and(QuotesCheckJudge = ""primeiro"", QuotesCheckChallengeRecommendation1 &lt;&gt; """"),and(QuotesCheckJudge = ""segundo"", QuotesCheckChallengeRecommendation2 &lt;&gt; """")), filter('Quotes-Check'!A355:D355, 'Quotes-Check'!A355:D355&lt;&gt;""g"&amp;"lugluieie""),"""")"),9.0)</f>
        <v>9</v>
      </c>
      <c r="B355" s="22">
        <f>IFERROR(__xludf.DUMMYFUNCTION("""COMPUTED_VALUE"""),16.0)</f>
        <v>16</v>
      </c>
      <c r="C355" s="2" t="str">
        <f>IFERROR(__xludf.DUMMYFUNCTION("""COMPUTED_VALUE"""),"R1 / R2")</f>
        <v>R1 / R2</v>
      </c>
      <c r="D355" s="22" t="str">
        <f>IFERROR(__xludf.DUMMYFUNCTION("""COMPUTED_VALUE"""),"Class Preparation")</f>
        <v>Class Preparation</v>
      </c>
      <c r="E355" s="46" t="str">
        <f>IFERROR(__xludf.DUMMYFUNCTION("if(or(QuotesCheckJudge="""",and(QuotesCheckJudge = ""primeiro"", QuotesCheckChallengeRecommendation1 &lt;&gt; """")), filter('Quotes-Check'!E355:F355, 'Quotes-Check'!E355:F355&lt;&gt;""glugluieie""),if(and(QuotesCheckJudge = ""segundo"", QuotesCheckChallengeRecommend"&amp;"ation2 &lt;&gt; """"), filter('Quotes-Check'!I355:J355, 'Quotes-Check'!I355:J355&lt;&gt;""glugluieie""),""""))"),"challenge")</f>
        <v>challenge</v>
      </c>
      <c r="F355" s="22" t="str">
        <f>IFERROR(__xludf.DUMMYFUNCTION("""COMPUTED_VALUE"""),"it can be a little harder garner garnering some of that same thing from, from industry, you know, unless you happen to find reasonably wit reasonably written, uh, white papers or, or things along those lines")</f>
        <v>it can be a little harder garner garnering some of that same thing from, from industry, you know, unless you happen to find reasonably wit reasonably written, uh, white papers or, or things along those lines</v>
      </c>
      <c r="G355" s="22" t="str">
        <f>if(QuotesCheckJudgeAbstract&lt;&gt;"",QuotesCheckJudgeAbstract,if(or(QuotesCheckJudge="",and(QuotesCheckJudge = "primeiro", QuotesCheckChallengeRecommendation1 &lt;&gt; "")), QuotesCheckAbstract1,if(and(QuotesCheckJudge = "segundo", QuotesCheckChallengeRecommendation2 &lt;&gt; ""), QuotesCheckAbstract2,"")))</f>
        <v>It is hard to find strategies from industry unless if it written in a paper</v>
      </c>
    </row>
    <row r="356">
      <c r="A356" s="22">
        <f>IFERROR(__xludf.DUMMYFUNCTION("if(or(QuotesCheckJudge="""",and(QuotesCheckJudge = ""primeiro"", QuotesCheckChallengeRecommendation1 &lt;&gt; """"),and(QuotesCheckJudge = ""segundo"", QuotesCheckChallengeRecommendation2 &lt;&gt; """")), filter('Quotes-Check'!A356:D356, 'Quotes-Check'!A356:D356&lt;&gt;""g"&amp;"lugluieie""),"""")"),9.0)</f>
        <v>9</v>
      </c>
      <c r="B356" s="22">
        <f>IFERROR(__xludf.DUMMYFUNCTION("""COMPUTED_VALUE"""),16.0)</f>
        <v>16</v>
      </c>
      <c r="C356" s="2" t="str">
        <f>IFERROR(__xludf.DUMMYFUNCTION("""COMPUTED_VALUE"""),"R1 / R2")</f>
        <v>R1 / R2</v>
      </c>
      <c r="D356" s="22" t="str">
        <f>IFERROR(__xludf.DUMMYFUNCTION("""COMPUTED_VALUE"""),"Class Preparation")</f>
        <v>Class Preparation</v>
      </c>
      <c r="E356" s="46" t="str">
        <f>IFERROR(__xludf.DUMMYFUNCTION("if(or(QuotesCheckJudge="""",and(QuotesCheckJudge = ""primeiro"", QuotesCheckChallengeRecommendation1 &lt;&gt; """")), filter('Quotes-Check'!E356:F356, 'Quotes-Check'!E356:F356&lt;&gt;""glugluieie""),if(and(QuotesCheckJudge = ""segundo"", QuotesCheckChallengeRecommend"&amp;"ation2 &lt;&gt; """"), filter('Quotes-Check'!I356:J356, 'Quotes-Check'!I356:J356&lt;&gt;""glugluieie""),""""))"),"recommendation")</f>
        <v>recommendation</v>
      </c>
      <c r="F356" s="22" t="str">
        <f>IFERROR(__xludf.DUMMYFUNCTION("""COMPUTED_VALUE"""),"I'm trying to tie the application of the devops principles and techniques and technologies, and to, and to link that together with agile approaches, for example. ")</f>
        <v>I'm trying to tie the application of the devops principles and techniques and technologies, and to, and to link that together with agile approaches, for example. </v>
      </c>
      <c r="G356" s="22" t="str">
        <f>if(QuotesCheckJudgeAbstract&lt;&gt;"",QuotesCheckJudgeAbstract,if(or(QuotesCheckJudge="",and(QuotesCheckJudge = "primeiro", QuotesCheckChallengeRecommendation1 &lt;&gt; "")), QuotesCheckAbstract1,if(and(QuotesCheckJudge = "segundo", QuotesCheckChallengeRecommendation2 &lt;&gt; ""), QuotesCheckAbstract2,"")))</f>
        <v>Tie application of DevOps principles, techniques and technologies</v>
      </c>
    </row>
    <row r="357">
      <c r="A357" s="22">
        <f>IFERROR(__xludf.DUMMYFUNCTION("if(or(QuotesCheckJudge="""",and(QuotesCheckJudge = ""primeiro"", QuotesCheckChallengeRecommendation1 &lt;&gt; """"),and(QuotesCheckJudge = ""segundo"", QuotesCheckChallengeRecommendation2 &lt;&gt; """")), filter('Quotes-Check'!A357:D357, 'Quotes-Check'!A357:D357&lt;&gt;""g"&amp;"lugluieie""),"""")"),9.0)</f>
        <v>9</v>
      </c>
      <c r="B357" s="22">
        <f>IFERROR(__xludf.DUMMYFUNCTION("""COMPUTED_VALUE"""),16.0)</f>
        <v>16</v>
      </c>
      <c r="C357" s="2" t="str">
        <f>IFERROR(__xludf.DUMMYFUNCTION("""COMPUTED_VALUE"""),"R1 / R2")</f>
        <v>R1 / R2</v>
      </c>
      <c r="D357" s="22" t="str">
        <f>IFERROR(__xludf.DUMMYFUNCTION("""COMPUTED_VALUE"""),"Class Preparation")</f>
        <v>Class Preparation</v>
      </c>
      <c r="E357" s="46" t="str">
        <f>IFERROR(__xludf.DUMMYFUNCTION("if(or(QuotesCheckJudge="""",and(QuotesCheckJudge = ""primeiro"", QuotesCheckChallengeRecommendation1 &lt;&gt; """")), filter('Quotes-Check'!E357:F357, 'Quotes-Check'!E357:F357&lt;&gt;""glugluieie""),if(and(QuotesCheckJudge = ""segundo"", QuotesCheckChallengeRecommend"&amp;"ation2 &lt;&gt; """"), filter('Quotes-Check'!I357:J357, 'Quotes-Check'!I357:J357&lt;&gt;""glugluieie""),""""))"),"recommendation")</f>
        <v>recommendation</v>
      </c>
      <c r="F357" s="22" t="str">
        <f>IFERROR(__xludf.DUMMYFUNCTION("""COMPUTED_VALUE"""),"So we do things in sort of an iterative and incremental model where every week or every sprint, if you will build on the previous one.")</f>
        <v>So we do things in sort of an iterative and incremental model where every week or every sprint, if you will build on the previous one.</v>
      </c>
      <c r="G357" s="22" t="str">
        <f>if(QuotesCheckJudgeAbstract&lt;&gt;"",QuotesCheckJudgeAbstract,if(or(QuotesCheckJudge="",and(QuotesCheckJudge = "primeiro", QuotesCheckChallengeRecommendation1 &lt;&gt; "")), QuotesCheckAbstract1,if(and(QuotesCheckJudge = "segundo", QuotesCheckChallengeRecommendation2 &lt;&gt; ""), QuotesCheckAbstract2,"")))</f>
        <v>Use an incremental models with sprints</v>
      </c>
    </row>
    <row r="358">
      <c r="A358" s="22">
        <f>IFERROR(__xludf.DUMMYFUNCTION("if(or(QuotesCheckJudge="""",and(QuotesCheckJudge = ""primeiro"", QuotesCheckChallengeRecommendation1 &lt;&gt; """"),and(QuotesCheckJudge = ""segundo"", QuotesCheckChallengeRecommendation2 &lt;&gt; """")), filter('Quotes-Check'!A358:D358, 'Quotes-Check'!A358:D358&lt;&gt;""g"&amp;"lugluieie""),"""")"),9.0)</f>
        <v>9</v>
      </c>
      <c r="B358" s="22">
        <f>IFERROR(__xludf.DUMMYFUNCTION("""COMPUTED_VALUE"""),16.0)</f>
        <v>16</v>
      </c>
      <c r="C358" s="2" t="str">
        <f>IFERROR(__xludf.DUMMYFUNCTION("""COMPUTED_VALUE"""),"R1 / R2")</f>
        <v>R1 / R2</v>
      </c>
      <c r="D358" s="22" t="str">
        <f>IFERROR(__xludf.DUMMYFUNCTION("""COMPUTED_VALUE"""),"Class Preparation")</f>
        <v>Class Preparation</v>
      </c>
      <c r="E358" s="46" t="str">
        <f>IFERROR(__xludf.DUMMYFUNCTION("if(or(QuotesCheckJudge="""",and(QuotesCheckJudge = ""primeiro"", QuotesCheckChallengeRecommendation1 &lt;&gt; """")), filter('Quotes-Check'!E358:F358, 'Quotes-Check'!E358:F358&lt;&gt;""glugluieie""),if(and(QuotesCheckJudge = ""segundo"", QuotesCheckChallengeRecommend"&amp;"ation2 &lt;&gt; """"), filter('Quotes-Check'!I358:J358, 'Quotes-Check'!I358:J358&lt;&gt;""glugluieie""),""""))"),"recommendation")</f>
        <v>recommendation</v>
      </c>
      <c r="F358" s="22" t="str">
        <f>IFERROR(__xludf.DUMMYFUNCTION("""COMPUTED_VALUE"""),"So I try to give folks one or two small projects.")</f>
        <v>So I try to give folks one or two small projects.</v>
      </c>
      <c r="G358" s="22" t="str">
        <f>if(QuotesCheckJudgeAbstract&lt;&gt;"",QuotesCheckJudgeAbstract,if(or(QuotesCheckJudge="",and(QuotesCheckJudge = "primeiro", QuotesCheckChallengeRecommendation1 &lt;&gt; "")), QuotesCheckAbstract1,if(and(QuotesCheckJudge = "segundo", QuotesCheckChallengeRecommendation2 &lt;&gt; ""), QuotesCheckAbstract2,"")))</f>
        <v>Specify what projects the students will work and provide one or two small projects.</v>
      </c>
    </row>
    <row r="359">
      <c r="A359" s="22">
        <f>IFERROR(__xludf.DUMMYFUNCTION("if(or(QuotesCheckJudge="""",and(QuotesCheckJudge = ""primeiro"", QuotesCheckChallengeRecommendation1 &lt;&gt; """"),and(QuotesCheckJudge = ""segundo"", QuotesCheckChallengeRecommendation2 &lt;&gt; """")), filter('Quotes-Check'!A359:D359, 'Quotes-Check'!A359:D359&lt;&gt;""g"&amp;"lugluieie""),"""")"),9.0)</f>
        <v>9</v>
      </c>
      <c r="B359" s="22">
        <f>IFERROR(__xludf.DUMMYFUNCTION("""COMPUTED_VALUE"""),17.0)</f>
        <v>17</v>
      </c>
      <c r="C359" s="2" t="str">
        <f>IFERROR(__xludf.DUMMYFUNCTION("""COMPUTED_VALUE"""),"R2 / R3")</f>
        <v>R2 / R3</v>
      </c>
      <c r="D359" s="22" t="str">
        <f>IFERROR(__xludf.DUMMYFUNCTION("""COMPUTED_VALUE"""),"Class Preparation")</f>
        <v>Class Preparation</v>
      </c>
      <c r="E359" s="46" t="str">
        <f>IFERROR(__xludf.DUMMYFUNCTION("if(or(QuotesCheckJudge="""",and(QuotesCheckJudge = ""primeiro"", QuotesCheckChallengeRecommendation1 &lt;&gt; """")), filter('Quotes-Check'!E359:F359, 'Quotes-Check'!E359:F359&lt;&gt;""glugluieie""),if(and(QuotesCheckJudge = ""segundo"", QuotesCheckChallengeRecommend"&amp;"ation2 &lt;&gt; """"), filter('Quotes-Check'!I359:J359, 'Quotes-Check'!I359:J359&lt;&gt;""glugluieie""),""""))"),"challenge")</f>
        <v>challenge</v>
      </c>
      <c r="F359" s="22" t="str">
        <f>IFERROR(__xludf.DUMMYFUNCTION("""COMPUTED_VALUE"""),"There's always double checking the technology, making sure that if you've got any automation in your class, it still works after all of the API changes may have gone into effect on say your cloud provider or, or whatever, making sure you're on the latest "&amp;"and greatest versions of whatever tooling that you're going to use and make sure that the hat that hasn't broken things and always missing something and suddenly be scrambling before class going, oh no, no, no. They've changed something. I need to figure "&amp;"this out.")</f>
        <v>There's always double checking the technology, making sure that if you've got any automation in your class, it still works after all of the API changes may have gone into effect on say your cloud provider or, or whatever, making sure you're on the latest and greatest versions of whatever tooling that you're going to use and make sure that the hat that hasn't broken things and always missing something and suddenly be scrambling before class going, oh no, no, no. They've changed something. I need to figure this out.</v>
      </c>
      <c r="G359" s="22" t="str">
        <f>if(QuotesCheckJudgeAbstract&lt;&gt;"",QuotesCheckJudgeAbstract,if(or(QuotesCheckJudge="",and(QuotesCheckJudge = "primeiro", QuotesCheckChallengeRecommendation1 &lt;&gt; "")), QuotesCheckAbstract1,if(and(QuotesCheckJudge = "segundo", QuotesCheckChallengeRecommendation2 &lt;&gt; ""), QuotesCheckAbstract2,"")))</f>
        <v>Devops tools and APIs change fast and it may break your labs.</v>
      </c>
    </row>
    <row r="360">
      <c r="A360" s="22">
        <f>IFERROR(__xludf.DUMMYFUNCTION("if(or(QuotesCheckJudge="""",and(QuotesCheckJudge = ""primeiro"", QuotesCheckChallengeRecommendation1 &lt;&gt; """"),and(QuotesCheckJudge = ""segundo"", QuotesCheckChallengeRecommendation2 &lt;&gt; """")), filter('Quotes-Check'!A360:D360, 'Quotes-Check'!A360:D360&lt;&gt;""g"&amp;"lugluieie""),"""")"),9.0)</f>
        <v>9</v>
      </c>
      <c r="B360" s="22">
        <f>IFERROR(__xludf.DUMMYFUNCTION("""COMPUTED_VALUE"""),17.0)</f>
        <v>17</v>
      </c>
      <c r="C360" s="2" t="str">
        <f>IFERROR(__xludf.DUMMYFUNCTION("""COMPUTED_VALUE"""),"R2 / R3")</f>
        <v>R2 / R3</v>
      </c>
      <c r="D360" s="22" t="str">
        <f>IFERROR(__xludf.DUMMYFUNCTION("""COMPUTED_VALUE"""),"Class Preparation")</f>
        <v>Class Preparation</v>
      </c>
      <c r="E360" s="46" t="str">
        <f>IFERROR(__xludf.DUMMYFUNCTION("if(or(QuotesCheckJudge="""",and(QuotesCheckJudge = ""primeiro"", QuotesCheckChallengeRecommendation1 &lt;&gt; """")), filter('Quotes-Check'!E360:F360, 'Quotes-Check'!E360:F360&lt;&gt;""glugluieie""),if(and(QuotesCheckJudge = ""segundo"", QuotesCheckChallengeRecommend"&amp;"ation2 &lt;&gt; """"), filter('Quotes-Check'!I360:J360, 'Quotes-Check'!I360:J360&lt;&gt;""glugluieie""),""""))"),"recommendation")</f>
        <v>recommendation</v>
      </c>
      <c r="F360" s="22" t="str">
        <f>IFERROR(__xludf.DUMMYFUNCTION("""COMPUTED_VALUE"""),"I'm usually maybe a couple of weeks out verifying something for an upcoming, an upcoming session. ")</f>
        <v>I'm usually maybe a couple of weeks out verifying something for an upcoming, an upcoming session. </v>
      </c>
      <c r="G360" s="22" t="str">
        <f>if(QuotesCheckJudgeAbstract&lt;&gt;"",QuotesCheckJudgeAbstract,if(or(QuotesCheckJudge="",and(QuotesCheckJudge = "primeiro", QuotesCheckChallengeRecommendation1 &lt;&gt; "")), QuotesCheckAbstract1,if(and(QuotesCheckJudge = "segundo", QuotesCheckChallengeRecommendation2 &lt;&gt; ""), QuotesCheckAbstract2,"")))</f>
        <v>Verify if labs exercises are working before classes.</v>
      </c>
    </row>
    <row r="361">
      <c r="A361" s="22">
        <f>IFERROR(__xludf.DUMMYFUNCTION("if(or(QuotesCheckJudge="""",and(QuotesCheckJudge = ""primeiro"", QuotesCheckChallengeRecommendation1 &lt;&gt; """"),and(QuotesCheckJudge = ""segundo"", QuotesCheckChallengeRecommendation2 &lt;&gt; """")), filter('Quotes-Check'!A361:D361, 'Quotes-Check'!A361:D361&lt;&gt;""g"&amp;"lugluieie""),"""")"),9.0)</f>
        <v>9</v>
      </c>
      <c r="B361" s="22">
        <f>IFERROR(__xludf.DUMMYFUNCTION("""COMPUTED_VALUE"""),18.0)</f>
        <v>18</v>
      </c>
      <c r="C361" s="2" t="str">
        <f>IFERROR(__xludf.DUMMYFUNCTION("""COMPUTED_VALUE"""),"R1 / R3")</f>
        <v>R1 / R3</v>
      </c>
      <c r="D361" s="22" t="str">
        <f>IFERROR(__xludf.DUMMYFUNCTION("""COMPUTED_VALUE"""),"Pedagogy")</f>
        <v>Pedagogy</v>
      </c>
      <c r="E361" s="46" t="str">
        <f>IFERROR(__xludf.DUMMYFUNCTION("if(or(QuotesCheckJudge="""",and(QuotesCheckJudge = ""primeiro"", QuotesCheckChallengeRecommendation1 &lt;&gt; """")), filter('Quotes-Check'!E361:F361, 'Quotes-Check'!E361:F361&lt;&gt;""glugluieie""),if(and(QuotesCheckJudge = ""segundo"", QuotesCheckChallengeRecommend"&amp;"ation2 &lt;&gt; """"), filter('Quotes-Check'!I361:J361, 'Quotes-Check'!I361:J361&lt;&gt;""glugluieie""),""""))"),"challenge")</f>
        <v>challenge</v>
      </c>
      <c r="F361" s="22" t="str">
        <f>IFERROR(__xludf.DUMMYFUNCTION("""COMPUTED_VALUE"""),"I have tended to get much more forgiving on how I, for example, grade this particular course, I used to be one of those folks. You know, you, you do the assignment and then you get a grade for the assignment. And at the end of the day, and this is not jus"&amp;"t devops it's it's for other courses as well. At the end of the day, I'm way more concerned. They're able to get stuff working and that you understand why we're doing it.")</f>
        <v>I have tended to get much more forgiving on how I, for example, grade this particular course, I used to be one of those folks. You know, you, you do the assignment and then you get a grade for the assignment. And at the end of the day, and this is not just devops it's it's for other courses as well. At the end of the day, I'm way more concerned. They're able to get stuff working and that you understand why we're doing it.</v>
      </c>
      <c r="G361" s="22" t="str">
        <f>if(QuotesCheckJudgeAbstract&lt;&gt;"",QuotesCheckJudgeAbstract,if(or(QuotesCheckJudge="",and(QuotesCheckJudge = "primeiro", QuotesCheckChallengeRecommendation1 &lt;&gt; "")), QuotesCheckAbstract1,if(and(QuotesCheckJudge = "segundo", QuotesCheckChallengeRecommendation2 &lt;&gt; ""), QuotesCheckAbstract2,"")))</f>
        <v>Task done by students do not means that students learned correctly.</v>
      </c>
    </row>
    <row r="362">
      <c r="A362" s="22">
        <f>IFERROR(__xludf.DUMMYFUNCTION("if(or(QuotesCheckJudge="""",and(QuotesCheckJudge = ""primeiro"", QuotesCheckChallengeRecommendation1 &lt;&gt; """"),and(QuotesCheckJudge = ""segundo"", QuotesCheckChallengeRecommendation2 &lt;&gt; """")), filter('Quotes-Check'!A362:D362, 'Quotes-Check'!A362:D362&lt;&gt;""g"&amp;"lugluieie""),"""")"),9.0)</f>
        <v>9</v>
      </c>
      <c r="B362" s="22">
        <f>IFERROR(__xludf.DUMMYFUNCTION("""COMPUTED_VALUE"""),19.0)</f>
        <v>19</v>
      </c>
      <c r="C362" s="2" t="str">
        <f>IFERROR(__xludf.DUMMYFUNCTION("""COMPUTED_VALUE"""),"R1 / R3")</f>
        <v>R1 / R3</v>
      </c>
      <c r="D362" s="22" t="str">
        <f>IFERROR(__xludf.DUMMYFUNCTION("""COMPUTED_VALUE"""),"Pedagogy")</f>
        <v>Pedagogy</v>
      </c>
      <c r="E362" s="46" t="str">
        <f>IFERROR(__xludf.DUMMYFUNCTION("if(or(QuotesCheckJudge="""",and(QuotesCheckJudge = ""primeiro"", QuotesCheckChallengeRecommendation1 &lt;&gt; """")), filter('Quotes-Check'!E362:F362, 'Quotes-Check'!E362:F362&lt;&gt;""glugluieie""),if(and(QuotesCheckJudge = ""segundo"", QuotesCheckChallengeRecommend"&amp;"ation2 &lt;&gt; """"), filter('Quotes-Check'!I362:J362, 'Quotes-Check'!I362:J362&lt;&gt;""glugluieie""),""""))"),"recommendation")</f>
        <v>recommendation</v>
      </c>
      <c r="F362" s="22" t="str">
        <f>IFERROR(__xludf.DUMMYFUNCTION("""COMPUTED_VALUE""")," If there's problems, I'll tell you where there's problems and you can go fix it, go get it, right. Go, go make it, do what it's supposed to do. You know, because in industry we're, we don't just get a one and done shot. We keep at it until it works. And "&amp;"so I bring that to the table and I think that provides a little less pressure on students. ")</f>
        <v> If there's problems, I'll tell you where there's problems and you can go fix it, go get it, right. Go, go make it, do what it's supposed to do. You know, because in industry we're, we don't just get a one and done shot. We keep at it until it works. And so I bring that to the table and I think that provides a little less pressure on students. </v>
      </c>
      <c r="G362" s="22" t="str">
        <f>if(QuotesCheckJudgeAbstract&lt;&gt;"",QuotesCheckJudgeAbstract,if(or(QuotesCheckJudge="",and(QuotesCheckJudge = "primeiro", QuotesCheckChallengeRecommendation1 &lt;&gt; "")), QuotesCheckAbstract1,if(and(QuotesCheckJudge = "segundo", QuotesCheckChallengeRecommendation2 &lt;&gt; ""), QuotesCheckAbstract2,"")))</f>
        <v>Students can fix their code problems. In industry, we keep coding until it works. It also provides a little less pressure on students.</v>
      </c>
    </row>
    <row r="363">
      <c r="A363" s="22">
        <f>IFERROR(__xludf.DUMMYFUNCTION("if(or(QuotesCheckJudge="""",and(QuotesCheckJudge = ""primeiro"", QuotesCheckChallengeRecommendation1 &lt;&gt; """"),and(QuotesCheckJudge = ""segundo"", QuotesCheckChallengeRecommendation2 &lt;&gt; """")), filter('Quotes-Check'!A363:D363, 'Quotes-Check'!A363:D363&lt;&gt;""g"&amp;"lugluieie""),"""")"),9.0)</f>
        <v>9</v>
      </c>
      <c r="B363" s="22">
        <f>IFERROR(__xludf.DUMMYFUNCTION("""COMPUTED_VALUE"""),19.0)</f>
        <v>19</v>
      </c>
      <c r="C363" s="2" t="str">
        <f>IFERROR(__xludf.DUMMYFUNCTION("""COMPUTED_VALUE"""),"R1 / R3")</f>
        <v>R1 / R3</v>
      </c>
      <c r="D363" s="22" t="str">
        <f>IFERROR(__xludf.DUMMYFUNCTION("""COMPUTED_VALUE"""),"Pedagogy")</f>
        <v>Pedagogy</v>
      </c>
      <c r="E363" s="46" t="str">
        <f>IFERROR(__xludf.DUMMYFUNCTION("if(or(QuotesCheckJudge="""",and(QuotesCheckJudge = ""primeiro"", QuotesCheckChallengeRecommendation1 &lt;&gt; """")), filter('Quotes-Check'!E363:F363, 'Quotes-Check'!E363:F363&lt;&gt;""glugluieie""),if(and(QuotesCheckJudge = ""segundo"", QuotesCheckChallengeRecommend"&amp;"ation2 &lt;&gt; """"), filter('Quotes-Check'!I363:J363, 'Quotes-Check'!I363:J363&lt;&gt;""glugluieie""),""""))"),"recommendation")</f>
        <v>recommendation</v>
      </c>
      <c r="F363" s="22" t="str">
        <f>IFERROR(__xludf.DUMMYFUNCTION("""COMPUTED_VALUE"""),"I will try to provide, uh, some kind of, of jump-starting as far as people learning at technology. So for example, here's commonly used commands. Here's why you use them. Here's how you use them.")</f>
        <v>I will try to provide, uh, some kind of, of jump-starting as far as people learning at technology. So for example, here's commonly used commands. Here's why you use them. Here's how you use them.</v>
      </c>
      <c r="G363" s="22" t="str">
        <f>if(QuotesCheckJudgeAbstract&lt;&gt;"",QuotesCheckJudgeAbstract,if(or(QuotesCheckJudge="",and(QuotesCheckJudge = "primeiro", QuotesCheckChallengeRecommendation1 &lt;&gt; "")), QuotesCheckAbstract1,if(and(QuotesCheckJudge = "segundo", QuotesCheckChallengeRecommendation2 &lt;&gt; ""), QuotesCheckAbstract2,"")))</f>
        <v>Provide jump-starting examples of commonly used commands of tools.</v>
      </c>
    </row>
    <row r="364">
      <c r="A364" s="22">
        <f>IFERROR(__xludf.DUMMYFUNCTION("if(or(QuotesCheckJudge="""",and(QuotesCheckJudge = ""primeiro"", QuotesCheckChallengeRecommendation1 &lt;&gt; """"),and(QuotesCheckJudge = ""segundo"", QuotesCheckChallengeRecommendation2 &lt;&gt; """")), filter('Quotes-Check'!A364:D364, 'Quotes-Check'!A364:D364&lt;&gt;""g"&amp;"lugluieie""),"""")"),9.0)</f>
        <v>9</v>
      </c>
      <c r="B364" s="22">
        <f>IFERROR(__xludf.DUMMYFUNCTION("""COMPUTED_VALUE"""),20.0)</f>
        <v>20</v>
      </c>
      <c r="C364" s="2" t="str">
        <f>IFERROR(__xludf.DUMMYFUNCTION("""COMPUTED_VALUE"""),"R1 / R3")</f>
        <v>R1 / R3</v>
      </c>
      <c r="D364" s="22" t="str">
        <f>IFERROR(__xludf.DUMMYFUNCTION("""COMPUTED_VALUE"""),"Pedagogy")</f>
        <v>Pedagogy</v>
      </c>
      <c r="E364" s="46" t="str">
        <f>IFERROR(__xludf.DUMMYFUNCTION("if(or(QuotesCheckJudge="""",and(QuotesCheckJudge = ""primeiro"", QuotesCheckChallengeRecommendation1 &lt;&gt; """")), filter('Quotes-Check'!E364:F364, 'Quotes-Check'!E364:F364&lt;&gt;""glugluieie""),if(and(QuotesCheckJudge = ""segundo"", QuotesCheckChallengeRecommend"&amp;"ation2 &lt;&gt; """"), filter('Quotes-Check'!I364:J364, 'Quotes-Check'!I364:J364&lt;&gt;""glugluieie""),""""))"),"recommendation")</f>
        <v>recommendation</v>
      </c>
      <c r="F364" s="22" t="str">
        <f>IFERROR(__xludf.DUMMYFUNCTION("""COMPUTED_VALUE"""),"Some of this even goes down to git right, because a lot of people coming in know something about git a lot don't um, in many ways, my opinion, which I realize is, is probably not widely shared is that even if we were restricted from a software engineering"&amp;" department perspective, almost everything we're teaching should be retooled along devops lines, uh,")</f>
        <v>Some of this even goes down to git right, because a lot of people coming in know something about git a lot don't um, in many ways, my opinion, which I realize is, is probably not widely shared is that even if we were restricted from a software engineering department perspective, almost everything we're teaching should be retooled along devops lines, uh,</v>
      </c>
      <c r="G364" s="22" t="str">
        <f>if(QuotesCheckJudgeAbstract&lt;&gt;"",QuotesCheckJudgeAbstract,if(or(QuotesCheckJudge="",and(QuotesCheckJudge = "primeiro", QuotesCheckChallengeRecommendation1 &lt;&gt; "")), QuotesCheckAbstract1,if(and(QuotesCheckJudge = "segundo", QuotesCheckChallengeRecommendation2 &lt;&gt; ""), QuotesCheckAbstract2,"")))</f>
        <v>Use git to teach how to manage the code.</v>
      </c>
    </row>
    <row r="365">
      <c r="A365" s="22">
        <f>IFERROR(__xludf.DUMMYFUNCTION("if(or(QuotesCheckJudge="""",and(QuotesCheckJudge = ""primeiro"", QuotesCheckChallengeRecommendation1 &lt;&gt; """"),and(QuotesCheckJudge = ""segundo"", QuotesCheckChallengeRecommendation2 &lt;&gt; """")), filter('Quotes-Check'!A365:D365, 'Quotes-Check'!A365:D365&lt;&gt;""g"&amp;"lugluieie""),"""")"),9.0)</f>
        <v>9</v>
      </c>
      <c r="B365" s="22">
        <f>IFERROR(__xludf.DUMMYFUNCTION("""COMPUTED_VALUE"""),21.0)</f>
        <v>21</v>
      </c>
      <c r="C365" s="2" t="str">
        <f>IFERROR(__xludf.DUMMYFUNCTION("""COMPUTED_VALUE"""),"R1 / R2")</f>
        <v>R1 / R2</v>
      </c>
      <c r="D365" s="22" t="str">
        <f>IFERROR(__xludf.DUMMYFUNCTION("""COMPUTED_VALUE"""),"Pedagogy")</f>
        <v>Pedagogy</v>
      </c>
      <c r="E365" s="46" t="str">
        <f>IFERROR(__xludf.DUMMYFUNCTION("if(or(QuotesCheckJudge="""",and(QuotesCheckJudge = ""primeiro"", QuotesCheckChallengeRecommendation1 &lt;&gt; """")), filter('Quotes-Check'!E365:F365, 'Quotes-Check'!E365:F365&lt;&gt;""glugluieie""),if(and(QuotesCheckJudge = ""segundo"", QuotesCheckChallengeRecommend"&amp;"ation2 &lt;&gt; """"), filter('Quotes-Check'!I365:J365, 'Quotes-Check'!I365:J365&lt;&gt;""glugluieie""),""""))"),"challenge")</f>
        <v>challenge</v>
      </c>
      <c r="F365" s="22" t="str">
        <f>IFERROR(__xludf.DUMMYFUNCTION("""COMPUTED_VALUE""")," For many people, getting them all to work together can be particularly challenging.")</f>
        <v> For many people, getting them all to work together can be particularly challenging.</v>
      </c>
      <c r="G365" s="22" t="str">
        <f>if(QuotesCheckJudgeAbstract&lt;&gt;"",QuotesCheckJudgeAbstract,if(or(QuotesCheckJudge="",and(QuotesCheckJudge = "primeiro", QuotesCheckChallengeRecommendation1 &lt;&gt; "")), QuotesCheckAbstract1,if(and(QuotesCheckJudge = "segundo", QuotesCheckChallengeRecommendation2 &lt;&gt; ""), QuotesCheckAbstract2,"")))</f>
        <v>For many people, getting all technologies to work together can be particularly challenging.</v>
      </c>
    </row>
    <row r="366">
      <c r="A366" s="22">
        <f>IFERROR(__xludf.DUMMYFUNCTION("if(or(QuotesCheckJudge="""",and(QuotesCheckJudge = ""primeiro"", QuotesCheckChallengeRecommendation1 &lt;&gt; """"),and(QuotesCheckJudge = ""segundo"", QuotesCheckChallengeRecommendation2 &lt;&gt; """")), filter('Quotes-Check'!A366:D366, 'Quotes-Check'!A366:D366&lt;&gt;""g"&amp;"lugluieie""),"""")"),9.0)</f>
        <v>9</v>
      </c>
      <c r="B366" s="22">
        <f>IFERROR(__xludf.DUMMYFUNCTION("""COMPUTED_VALUE"""),21.0)</f>
        <v>21</v>
      </c>
      <c r="C366" s="2" t="str">
        <f>IFERROR(__xludf.DUMMYFUNCTION("""COMPUTED_VALUE"""),"R1 / R2")</f>
        <v>R1 / R2</v>
      </c>
      <c r="D366" s="22" t="str">
        <f>IFERROR(__xludf.DUMMYFUNCTION("""COMPUTED_VALUE"""),"Pedagogy")</f>
        <v>Pedagogy</v>
      </c>
      <c r="E366" s="46" t="str">
        <f>IFERROR(__xludf.DUMMYFUNCTION("if(or(QuotesCheckJudge="""",and(QuotesCheckJudge = ""primeiro"", QuotesCheckChallengeRecommendation1 &lt;&gt; """")), filter('Quotes-Check'!E366:F366, 'Quotes-Check'!E366:F366&lt;&gt;""glugluieie""),if(and(QuotesCheckJudge = ""segundo"", QuotesCheckChallengeRecommend"&amp;"ation2 &lt;&gt; """"), filter('Quotes-Check'!I366:J366, 'Quotes-Check'!I366:J366&lt;&gt;""glugluieie""),""""))"),"recommendation")</f>
        <v>recommendation</v>
      </c>
      <c r="F366" s="22" t="str">
        <f>IFERROR(__xludf.DUMMYFUNCTION("""COMPUTED_VALUE""")," So being a little bit more forgiving, a lot of the tools that we're using are brand new. For many people, getting them all to work together can be particularly challenging. And so making it a little less stressful, uh, can be helpful.")</f>
        <v> So being a little bit more forgiving, a lot of the tools that we're using are brand new. For many people, getting them all to work together can be particularly challenging. And so making it a little less stressful, uh, can be helpful.</v>
      </c>
      <c r="G366" s="22" t="str">
        <f>if(QuotesCheckJudgeAbstract&lt;&gt;"",QuotesCheckJudgeAbstract,if(or(QuotesCheckJudge="",and(QuotesCheckJudge = "primeiro", QuotesCheckChallengeRecommendation1 &lt;&gt; "")), QuotesCheckAbstract1,if(and(QuotesCheckJudge = "segundo", QuotesCheckChallengeRecommendation2 &lt;&gt; ""), QuotesCheckAbstract2,"")))</f>
        <v>Be a little bit more forgivable, understanding that for some people getting all the brand new technologies to work together can be really hard, so make it less stressful .</v>
      </c>
    </row>
    <row r="367">
      <c r="A367" s="22">
        <f>IFERROR(__xludf.DUMMYFUNCTION("if(or(QuotesCheckJudge="""",and(QuotesCheckJudge = ""primeiro"", QuotesCheckChallengeRecommendation1 &lt;&gt; """"),and(QuotesCheckJudge = ""segundo"", QuotesCheckChallengeRecommendation2 &lt;&gt; """")), filter('Quotes-Check'!A367:D367, 'Quotes-Check'!A367:D367&lt;&gt;""g"&amp;"lugluieie""),"""")"),9.0)</f>
        <v>9</v>
      </c>
      <c r="B367" s="22">
        <f>IFERROR(__xludf.DUMMYFUNCTION("""COMPUTED_VALUE"""),22.0)</f>
        <v>22</v>
      </c>
      <c r="C367" s="2" t="str">
        <f>IFERROR(__xludf.DUMMYFUNCTION("""COMPUTED_VALUE"""),"R2 / R3")</f>
        <v>R2 / R3</v>
      </c>
      <c r="D367" s="22" t="str">
        <f>IFERROR(__xludf.DUMMYFUNCTION("""COMPUTED_VALUE"""),"Pedagogy")</f>
        <v>Pedagogy</v>
      </c>
      <c r="E367" s="46" t="str">
        <f>IFERROR(__xludf.DUMMYFUNCTION("if(or(QuotesCheckJudge="""",and(QuotesCheckJudge = ""primeiro"", QuotesCheckChallengeRecommendation1 &lt;&gt; """")), filter('Quotes-Check'!E367:F367, 'Quotes-Check'!E367:F367&lt;&gt;""glugluieie""),if(and(QuotesCheckJudge = ""segundo"", QuotesCheckChallengeRecommend"&amp;"ation2 &lt;&gt; """"), filter('Quotes-Check'!I367:J367, 'Quotes-Check'!I367:J367&lt;&gt;""glugluieie""),""""))"),"recommendation")</f>
        <v>recommendation</v>
      </c>
      <c r="F367" s="22" t="str">
        <f>IFERROR(__xludf.DUMMYFUNCTION("""COMPUTED_VALUE"""),"I tend not to get quite as hyper-focused on right versus wrong answers. ... so treating it as, as more of an assessment of maybe architecture, if you will, or an assessment of approach, as opposed to this is right, this is wrong. Uh, I think that's been f"&amp;"airly well received. ")</f>
        <v>I tend not to get quite as hyper-focused on right versus wrong answers. ... so treating it as, as more of an assessment of maybe architecture, if you will, or an assessment of approach, as opposed to this is right, this is wrong. Uh, I think that's been fairly well received. </v>
      </c>
      <c r="G367" s="22" t="str">
        <f>if(QuotesCheckJudgeAbstract&lt;&gt;"",QuotesCheckJudgeAbstract,if(or(QuotesCheckJudge="",and(QuotesCheckJudge = "primeiro", QuotesCheckChallengeRecommendation1 &lt;&gt; "")), QuotesCheckAbstract1,if(and(QuotesCheckJudge = "segundo", QuotesCheckChallengeRecommendation2 &lt;&gt; ""), QuotesCheckAbstract2,"")))</f>
        <v>Do not focus your assessment on right versus wrong answers.</v>
      </c>
    </row>
    <row r="368">
      <c r="A368" s="22">
        <f>IFERROR(__xludf.DUMMYFUNCTION("if(or(QuotesCheckJudge="""",and(QuotesCheckJudge = ""primeiro"", QuotesCheckChallengeRecommendation1 &lt;&gt; """"),and(QuotesCheckJudge = ""segundo"", QuotesCheckChallengeRecommendation2 &lt;&gt; """")), filter('Quotes-Check'!A368:D368, 'Quotes-Check'!A368:D368&lt;&gt;""g"&amp;"lugluieie""),"""")"),9.0)</f>
        <v>9</v>
      </c>
      <c r="B368" s="22">
        <f>IFERROR(__xludf.DUMMYFUNCTION("""COMPUTED_VALUE"""),23.0)</f>
        <v>23</v>
      </c>
      <c r="C368" s="2" t="str">
        <f>IFERROR(__xludf.DUMMYFUNCTION("""COMPUTED_VALUE"""),"R1 / R3")</f>
        <v>R1 / R3</v>
      </c>
      <c r="D368" s="22" t="str">
        <f>IFERROR(__xludf.DUMMYFUNCTION("""COMPUTED_VALUE"""),"Assessment")</f>
        <v>Assessment</v>
      </c>
      <c r="E368" s="46" t="str">
        <f>IFERROR(__xludf.DUMMYFUNCTION("if(or(QuotesCheckJudge="""",and(QuotesCheckJudge = ""primeiro"", QuotesCheckChallengeRecommendation1 &lt;&gt; """")), filter('Quotes-Check'!E368:F368, 'Quotes-Check'!E368:F368&lt;&gt;""glugluieie""),if(and(QuotesCheckJudge = ""segundo"", QuotesCheckChallengeRecommend"&amp;"ation2 &lt;&gt; """"), filter('Quotes-Check'!I368:J368, 'Quotes-Check'!I368:J368&lt;&gt;""glugluieie""),""""))"),"recommendation")</f>
        <v>recommendation</v>
      </c>
      <c r="F368" s="22" t="str">
        <f>IFERROR(__xludf.DUMMYFUNCTION("""COMPUTED_VALUE"""),"for this course, I haven't done as much in terms of team projects, although I'm rolling that around to every, because everybody loves team projects.")</f>
        <v>for this course, I haven't done as much in terms of team projects, although I'm rolling that around to every, because everybody loves team projects.</v>
      </c>
      <c r="G368" s="22" t="str">
        <f>if(QuotesCheckJudgeAbstract&lt;&gt;"",QuotesCheckJudgeAbstract,if(or(QuotesCheckJudge="",and(QuotesCheckJudge = "primeiro", QuotesCheckChallengeRecommendation1 &lt;&gt; "")), QuotesCheckAbstract1,if(and(QuotesCheckJudge = "segundo", QuotesCheckChallengeRecommendation2 &lt;&gt; ""), QuotesCheckAbstract2,"")))</f>
        <v>Students like to work on team projects.</v>
      </c>
    </row>
    <row r="369">
      <c r="A369" s="22">
        <f>IFERROR(__xludf.DUMMYFUNCTION("if(or(QuotesCheckJudge="""",and(QuotesCheckJudge = ""primeiro"", QuotesCheckChallengeRecommendation1 &lt;&gt; """"),and(QuotesCheckJudge = ""segundo"", QuotesCheckChallengeRecommendation2 &lt;&gt; """")), filter('Quotes-Check'!A369:D369, 'Quotes-Check'!A369:D369&lt;&gt;""g"&amp;"lugluieie""),"""")"),9.0)</f>
        <v>9</v>
      </c>
      <c r="B369" s="22">
        <f>IFERROR(__xludf.DUMMYFUNCTION("""COMPUTED_VALUE"""),23.0)</f>
        <v>23</v>
      </c>
      <c r="C369" s="2" t="str">
        <f>IFERROR(__xludf.DUMMYFUNCTION("""COMPUTED_VALUE"""),"R1 / R3")</f>
        <v>R1 / R3</v>
      </c>
      <c r="D369" s="22" t="str">
        <f>IFERROR(__xludf.DUMMYFUNCTION("""COMPUTED_VALUE"""),"Assessment")</f>
        <v>Assessment</v>
      </c>
      <c r="E369" s="46" t="str">
        <f>IFERROR(__xludf.DUMMYFUNCTION("if(or(QuotesCheckJudge="""",and(QuotesCheckJudge = ""primeiro"", QuotesCheckChallengeRecommendation1 &lt;&gt; """")), filter('Quotes-Check'!E369:F369, 'Quotes-Check'!E369:F369&lt;&gt;""glugluieie""),if(and(QuotesCheckJudge = ""segundo"", QuotesCheckChallengeRecommend"&amp;"ation2 &lt;&gt; """"), filter('Quotes-Check'!I369:J369, 'Quotes-Check'!I369:J369&lt;&gt;""glugluieie""),""""))"),"recommendation")</f>
        <v>recommendation</v>
      </c>
      <c r="F369" s="22" t="str">
        <f>IFERROR(__xludf.DUMMYFUNCTION("""COMPUTED_VALUE"""),"the exams are really more the conceptual or philosophical elements stuff, where there is a little more of a, a cut and dry response, or at least I try to structure them that way. ")</f>
        <v>the exams are really more the conceptual or philosophical elements stuff, where there is a little more of a, a cut and dry response, or at least I try to structure them that way. </v>
      </c>
      <c r="G369" s="22" t="str">
        <f>if(QuotesCheckJudgeAbstract&lt;&gt;"",QuotesCheckJudgeAbstract,if(or(QuotesCheckJudge="",and(QuotesCheckJudge = "primeiro", QuotesCheckChallengeRecommendation1 &lt;&gt; "")), QuotesCheckAbstract1,if(and(QuotesCheckJudge = "segundo", QuotesCheckChallengeRecommendation2 &lt;&gt; ""), QuotesCheckAbstract2,"")))</f>
        <v>The exams have more conceptual or philosophical elements.</v>
      </c>
    </row>
    <row r="370">
      <c r="A370" s="22">
        <f>IFERROR(__xludf.DUMMYFUNCTION("if(or(QuotesCheckJudge="""",and(QuotesCheckJudge = ""primeiro"", QuotesCheckChallengeRecommendation1 &lt;&gt; """"),and(QuotesCheckJudge = ""segundo"", QuotesCheckChallengeRecommendation2 &lt;&gt; """")), filter('Quotes-Check'!A370:D370, 'Quotes-Check'!A370:D370&lt;&gt;""g"&amp;"lugluieie""),"""")"),9.0)</f>
        <v>9</v>
      </c>
      <c r="B370" s="22">
        <f>IFERROR(__xludf.DUMMYFUNCTION("""COMPUTED_VALUE"""),24.0)</f>
        <v>24</v>
      </c>
      <c r="C370" s="2" t="str">
        <f>IFERROR(__xludf.DUMMYFUNCTION("""COMPUTED_VALUE"""),"R1 / R3")</f>
        <v>R1 / R3</v>
      </c>
      <c r="D370" s="22" t="str">
        <f>IFERROR(__xludf.DUMMYFUNCTION("""COMPUTED_VALUE"""),"Curriculum")</f>
        <v>Curriculum</v>
      </c>
      <c r="E370" s="46" t="str">
        <f>IFERROR(__xludf.DUMMYFUNCTION("if(or(QuotesCheckJudge="""",and(QuotesCheckJudge = ""primeiro"", QuotesCheckChallengeRecommendation1 &lt;&gt; """")), filter('Quotes-Check'!E370:F370, 'Quotes-Check'!E370:F370&lt;&gt;""glugluieie""),if(and(QuotesCheckJudge = ""segundo"", QuotesCheckChallengeRecommend"&amp;"ation2 &lt;&gt; """"), filter('Quotes-Check'!I370:J370, 'Quotes-Check'!I370:J370&lt;&gt;""glugluieie""),""""))"),"recommendation")</f>
        <v>recommendation</v>
      </c>
      <c r="F370" s="22" t="str">
        <f>IFERROR(__xludf.DUMMYFUNCTION("""COMPUTED_VALUE"""),"Our particular curriculum tends to allow out of, some degree of necessity and amount of interest based learning. You know, I care about software architecture. And so that's where I want to focus.")</f>
        <v>Our particular curriculum tends to allow out of, some degree of necessity and amount of interest based learning. You know, I care about software architecture. And so that's where I want to focus.</v>
      </c>
      <c r="G370" s="22" t="str">
        <f>if(QuotesCheckJudgeAbstract&lt;&gt;"",QuotesCheckJudgeAbstract,if(or(QuotesCheckJudge="",and(QuotesCheckJudge = "primeiro", QuotesCheckChallengeRecommendation1 &lt;&gt; "")), QuotesCheckAbstract1,if(and(QuotesCheckJudge = "segundo", QuotesCheckChallengeRecommendation2 &lt;&gt; ""), QuotesCheckAbstract2,"")))</f>
        <v>Our particular curriculum allows some degree of necessity and amount of interest based learning.</v>
      </c>
    </row>
    <row r="371">
      <c r="A371" s="22">
        <f>IFERROR(__xludf.DUMMYFUNCTION("if(or(QuotesCheckJudge="""",and(QuotesCheckJudge = ""primeiro"", QuotesCheckChallengeRecommendation1 &lt;&gt; """"),and(QuotesCheckJudge = ""segundo"", QuotesCheckChallengeRecommendation2 &lt;&gt; """")), filter('Quotes-Check'!A371:D371, 'Quotes-Check'!A371:D371&lt;&gt;""g"&amp;"lugluieie""),"""")"),9.0)</f>
        <v>9</v>
      </c>
      <c r="B371" s="22">
        <f>IFERROR(__xludf.DUMMYFUNCTION("""COMPUTED_VALUE"""),26.0)</f>
        <v>26</v>
      </c>
      <c r="C371" s="2" t="str">
        <f>IFERROR(__xludf.DUMMYFUNCTION("""COMPUTED_VALUE"""),"R1 / R2")</f>
        <v>R1 / R2</v>
      </c>
      <c r="D371" s="22" t="str">
        <f>IFERROR(__xludf.DUMMYFUNCTION("""COMPUTED_VALUE"""),"Curriculum")</f>
        <v>Curriculum</v>
      </c>
      <c r="E371" s="46" t="str">
        <f>IFERROR(__xludf.DUMMYFUNCTION("if(or(QuotesCheckJudge="""",and(QuotesCheckJudge = ""primeiro"", QuotesCheckChallengeRecommendation1 &lt;&gt; """")), filter('Quotes-Check'!E371:F371, 'Quotes-Check'!E371:F371&lt;&gt;""glugluieie""),if(and(QuotesCheckJudge = ""segundo"", QuotesCheckChallengeRecommend"&amp;"ation2 &lt;&gt; """"), filter('Quotes-Check'!I371:J371, 'Quotes-Check'!I371:J371&lt;&gt;""glugluieie""),""""))"),"challenge")</f>
        <v>challenge</v>
      </c>
      <c r="F371" s="22" t="str">
        <f>IFERROR(__xludf.DUMMYFUNCTION("""COMPUTED_VALUE"""),"The challenge of course, is newer students obviously have more than enough to worry about just getting code wrong and compile. Uh, but that's, that's the reality, unfortunately, is the code just doesn't run a compile on a laptop, right? It runs out in pro"&amp;"duction and it's serving real people. And in this day and age, there is, there is stuff that goes with that. And the more folks understand, at least some of the sooner, the better I hope the software will be.
")</f>
        <v>The challenge of course, is newer students obviously have more than enough to worry about just getting code wrong and compile. Uh, but that's, that's the reality, unfortunately, is the code just doesn't run a compile on a laptop, right? It runs out in production and it's serving real people. And in this day and age, there is, there is stuff that goes with that. And the more folks understand, at least some of the sooner, the better I hope the software will be.
</v>
      </c>
      <c r="G371" s="22" t="str">
        <f>if(QuotesCheckJudgeAbstract&lt;&gt;"",QuotesCheckJudgeAbstract,if(or(QuotesCheckJudge="",and(QuotesCheckJudge = "primeiro", QuotesCheckChallengeRecommendation1 &lt;&gt; "")), QuotesCheckAbstract1,if(and(QuotesCheckJudge = "segundo", QuotesCheckChallengeRecommendation2 &lt;&gt; ""), QuotesCheckAbstract2,"")))</f>
        <v>It is difficult for students to understand the importance of if the software is correct, not just compilating.</v>
      </c>
    </row>
    <row r="372">
      <c r="A372" s="22">
        <f>IFERROR(__xludf.DUMMYFUNCTION("if(or(QuotesCheckJudge="""",and(QuotesCheckJudge = ""primeiro"", QuotesCheckChallengeRecommendation1 &lt;&gt; """"),and(QuotesCheckJudge = ""segundo"", QuotesCheckChallengeRecommendation2 &lt;&gt; """")), filter('Quotes-Check'!A372:D372, 'Quotes-Check'!A372:D372&lt;&gt;""g"&amp;"lugluieie""),"""")"),10.0)</f>
        <v>10</v>
      </c>
      <c r="B372" s="22">
        <f>IFERROR(__xludf.DUMMYFUNCTION("""COMPUTED_VALUE"""),2.0)</f>
        <v>2</v>
      </c>
      <c r="C372" s="2" t="str">
        <f>IFERROR(__xludf.DUMMYFUNCTION("""COMPUTED_VALUE"""),"R2 / R3")</f>
        <v>R2 / R3</v>
      </c>
      <c r="D372" s="22" t="str">
        <f>IFERROR(__xludf.DUMMYFUNCTION("""COMPUTED_VALUE"""),"Educator Experience")</f>
        <v>Educator Experience</v>
      </c>
      <c r="E372" s="46" t="str">
        <f>IFERROR(__xludf.DUMMYFUNCTION("if(or(QuotesCheckJudge="""",and(QuotesCheckJudge = ""primeiro"", QuotesCheckChallengeRecommendation1 &lt;&gt; """")), filter('Quotes-Check'!E372:F372, 'Quotes-Check'!E372:F372&lt;&gt;""glugluieie""),if(and(QuotesCheckJudge = ""segundo"", QuotesCheckChallengeRecommend"&amp;"ation2 &lt;&gt; """"), filter('Quotes-Check'!I372:J372, 'Quotes-Check'!I372:J372&lt;&gt;""glugluieie""),""""))"),"recommendation")</f>
        <v>recommendation</v>
      </c>
      <c r="F372" s="22" t="str">
        <f>IFERROR(__xludf.DUMMYFUNCTION("""COMPUTED_VALUE"""),"We let the students build only one project, one code base, which is evaluated both on the standpoint of the architecture. ... but also from the angle of continuous integration, do they include build plan?")</f>
        <v>We let the students build only one project, one code base, which is evaluated both on the standpoint of the architecture. ... but also from the angle of continuous integration, do they include build plan?</v>
      </c>
      <c r="G372" s="22" t="str">
        <f>if(QuotesCheckJudgeAbstract&lt;&gt;"",QuotesCheckJudgeAbstract,if(or(QuotesCheckJudge="",and(QuotesCheckJudge = "primeiro", QuotesCheckChallengeRecommendation1 &lt;&gt; "")), QuotesCheckAbstract1,if(and(QuotesCheckJudge = "segundo", QuotesCheckChallengeRecommendation2 &lt;&gt; ""), QuotesCheckAbstract2,"")))</f>
        <v>Evaluate the single project of the students on the standpoint of the architecture and also from the angle of continous integration.</v>
      </c>
    </row>
    <row r="373">
      <c r="A373" s="22">
        <f>IFERROR(__xludf.DUMMYFUNCTION("if(or(QuotesCheckJudge="""",and(QuotesCheckJudge = ""primeiro"", QuotesCheckChallengeRecommendation1 &lt;&gt; """"),and(QuotesCheckJudge = ""segundo"", QuotesCheckChallengeRecommendation2 &lt;&gt; """")), filter('Quotes-Check'!A373:D373, 'Quotes-Check'!A373:D373&lt;&gt;""g"&amp;"lugluieie""),"""")"),10.0)</f>
        <v>10</v>
      </c>
      <c r="B373" s="22">
        <f>IFERROR(__xludf.DUMMYFUNCTION("""COMPUTED_VALUE"""),2.0)</f>
        <v>2</v>
      </c>
      <c r="C373" s="2" t="str">
        <f>IFERROR(__xludf.DUMMYFUNCTION("""COMPUTED_VALUE"""),"R2 / R3")</f>
        <v>R2 / R3</v>
      </c>
      <c r="D373" s="22" t="str">
        <f>IFERROR(__xludf.DUMMYFUNCTION("""COMPUTED_VALUE"""),"Educator Experience")</f>
        <v>Educator Experience</v>
      </c>
      <c r="E373" s="46" t="str">
        <f>IFERROR(__xludf.DUMMYFUNCTION("if(or(QuotesCheckJudge="""",and(QuotesCheckJudge = ""primeiro"", QuotesCheckChallengeRecommendation1 &lt;&gt; """")), filter('Quotes-Check'!E373:F373, 'Quotes-Check'!E373:F373&lt;&gt;""glugluieie""),if(and(QuotesCheckJudge = ""segundo"", QuotesCheckChallengeRecommend"&amp;"ation2 &lt;&gt; """"), filter('Quotes-Check'!I373:J373, 'Quotes-Check'!I373:J373&lt;&gt;""glugluieie""),""""))"),"recommendation")</f>
        <v>recommendation</v>
      </c>
      <c r="F373" s="22" t="str">
        <f>IFERROR(__xludf.DUMMYFUNCTION("""COMPUTED_VALUE"""),"So we built a curriculum in just very innovative way, the two classes together, a single project, a single teaching team, but we evaluate on two angles.")</f>
        <v>So we built a curriculum in just very innovative way, the two classes together, a single project, a single teaching team, but we evaluate on two angles.</v>
      </c>
      <c r="G373" s="22" t="str">
        <f>if(QuotesCheckJudgeAbstract&lt;&gt;"",QuotesCheckJudgeAbstract,if(or(QuotesCheckJudge="",and(QuotesCheckJudge = "primeiro", QuotesCheckChallengeRecommendation1 &lt;&gt; "")), QuotesCheckAbstract1,if(and(QuotesCheckJudge = "segundo", QuotesCheckChallengeRecommendation2 &lt;&gt; ""), QuotesCheckAbstract2,"")))</f>
        <v>Built a curriculum with DevOps and Software Architecture classes together, a single project, a single teaching team, but we evaluate on two angles.</v>
      </c>
    </row>
    <row r="374">
      <c r="A374" s="22">
        <f>IFERROR(__xludf.DUMMYFUNCTION("if(or(QuotesCheckJudge="""",and(QuotesCheckJudge = ""primeiro"", QuotesCheckChallengeRecommendation1 &lt;&gt; """"),and(QuotesCheckJudge = ""segundo"", QuotesCheckChallengeRecommendation2 &lt;&gt; """")), filter('Quotes-Check'!A374:D374, 'Quotes-Check'!A374:D374&lt;&gt;""g"&amp;"lugluieie""),"""")"),10.0)</f>
        <v>10</v>
      </c>
      <c r="B374" s="22">
        <f>IFERROR(__xludf.DUMMYFUNCTION("""COMPUTED_VALUE"""),3.0)</f>
        <v>3</v>
      </c>
      <c r="C374" s="2" t="str">
        <f>IFERROR(__xludf.DUMMYFUNCTION("""COMPUTED_VALUE"""),"R1 / R3")</f>
        <v>R1 / R3</v>
      </c>
      <c r="D374" s="22" t="str">
        <f>IFERROR(__xludf.DUMMYFUNCTION("""COMPUTED_VALUE"""),"General Challenges and Recommendations")</f>
        <v>General Challenges and Recommendations</v>
      </c>
      <c r="E374" s="46" t="str">
        <f>IFERROR(__xludf.DUMMYFUNCTION("if(or(QuotesCheckJudge="""",and(QuotesCheckJudge = ""primeiro"", QuotesCheckChallengeRecommendation1 &lt;&gt; """")), filter('Quotes-Check'!E374:F374, 'Quotes-Check'!E374:F374&lt;&gt;""glugluieie""),if(and(QuotesCheckJudge = ""segundo"", QuotesCheckChallengeRecommend"&amp;"ation2 &lt;&gt; """"), filter('Quotes-Check'!I374:J374, 'Quotes-Check'!I374:J374&lt;&gt;""glugluieie""),""""))"),"challenge")</f>
        <v>challenge</v>
      </c>
      <c r="F374" s="22" t="str">
        <f>IFERROR(__xludf.DUMMYFUNCTION("""COMPUTED_VALUE"""),"human challenges are when you start teaching DevOps, it doesn't look serious")</f>
        <v>human challenges are when you start teaching DevOps, it doesn't look serious</v>
      </c>
      <c r="G374" s="22" t="str">
        <f>if(QuotesCheckJudgeAbstract&lt;&gt;"",QuotesCheckJudgeAbstract,if(or(QuotesCheckJudge="",and(QuotesCheckJudge = "primeiro", QuotesCheckChallengeRecommendation1 &lt;&gt; "")), QuotesCheckAbstract1,if(and(QuotesCheckJudge = "segundo", QuotesCheckChallengeRecommendation2 &lt;&gt; ""), QuotesCheckAbstract2,"")))</f>
        <v>When you start teaching DevOps, it doesn't look relevant.</v>
      </c>
    </row>
    <row r="375">
      <c r="A375" s="22">
        <f>IFERROR(__xludf.DUMMYFUNCTION("if(or(QuotesCheckJudge="""",and(QuotesCheckJudge = ""primeiro"", QuotesCheckChallengeRecommendation1 &lt;&gt; """"),and(QuotesCheckJudge = ""segundo"", QuotesCheckChallengeRecommendation2 &lt;&gt; """")), filter('Quotes-Check'!A375:D375, 'Quotes-Check'!A375:D375&lt;&gt;""g"&amp;"lugluieie""),"""")"),10.0)</f>
        <v>10</v>
      </c>
      <c r="B375" s="22">
        <f>IFERROR(__xludf.DUMMYFUNCTION("""COMPUTED_VALUE"""),5.0)</f>
        <v>5</v>
      </c>
      <c r="C375" s="2" t="str">
        <f>IFERROR(__xludf.DUMMYFUNCTION("""COMPUTED_VALUE"""),"R1 / R3")</f>
        <v>R1 / R3</v>
      </c>
      <c r="D375" s="22" t="str">
        <f>IFERROR(__xludf.DUMMYFUNCTION("""COMPUTED_VALUE"""),"General Challenges and Recommendations")</f>
        <v>General Challenges and Recommendations</v>
      </c>
      <c r="E375" s="46" t="str">
        <f>IFERROR(__xludf.DUMMYFUNCTION("if(or(QuotesCheckJudge="""",and(QuotesCheckJudge = ""primeiro"", QuotesCheckChallengeRecommendation1 &lt;&gt; """")), filter('Quotes-Check'!E375:F375, 'Quotes-Check'!E375:F375&lt;&gt;""glugluieie""),if(and(QuotesCheckJudge = ""segundo"", QuotesCheckChallengeRecommend"&amp;"ation2 &lt;&gt; """"), filter('Quotes-Check'!I375:J375, 'Quotes-Check'!I375:J375&lt;&gt;""glugluieie""),""""))"),"challenge")</f>
        <v>challenge</v>
      </c>
      <c r="F375" s="22" t="str">
        <f>IFERROR(__xludf.DUMMYFUNCTION("""COMPUTED_VALUE""")," How to express concept, formalize them. But at the same time also focus on those issues that are getting in the way, the non-industrial way of, you know, writing scripts that if you want to industrialize them and they become Bulletproof, it's a mess, rig"&amp;"ht? It's difficult.")</f>
        <v> How to express concept, formalize them. But at the same time also focus on those issues that are getting in the way, the non-industrial way of, you know, writing scripts that if you want to industrialize them and they become Bulletproof, it's a mess, right? It's difficult.</v>
      </c>
      <c r="G375" s="22" t="str">
        <f>if(QuotesCheckJudgeAbstract&lt;&gt;"",QuotesCheckJudgeAbstract,if(or(QuotesCheckJudge="",and(QuotesCheckJudge = "primeiro", QuotesCheckChallengeRecommendation1 &lt;&gt; "")), QuotesCheckAbstract1,if(and(QuotesCheckJudge = "segundo", QuotesCheckChallengeRecommendation2 &lt;&gt; ""), QuotesCheckAbstract2,"")))</f>
        <v>It is difficult to express and formalize DevOps concepts. There is not bulletproof in devops</v>
      </c>
    </row>
    <row r="376">
      <c r="A376" s="22">
        <f>IFERROR(__xludf.DUMMYFUNCTION("if(or(QuotesCheckJudge="""",and(QuotesCheckJudge = ""primeiro"", QuotesCheckChallengeRecommendation1 &lt;&gt; """"),and(QuotesCheckJudge = ""segundo"", QuotesCheckChallengeRecommendation2 &lt;&gt; """")), filter('Quotes-Check'!A376:D376, 'Quotes-Check'!A376:D376&lt;&gt;""g"&amp;"lugluieie""),"""")"),10.0)</f>
        <v>10</v>
      </c>
      <c r="B376" s="22">
        <f>IFERROR(__xludf.DUMMYFUNCTION("""COMPUTED_VALUE"""),5.0)</f>
        <v>5</v>
      </c>
      <c r="C376" s="2" t="str">
        <f>IFERROR(__xludf.DUMMYFUNCTION("""COMPUTED_VALUE"""),"R1 / R3")</f>
        <v>R1 / R3</v>
      </c>
      <c r="D376" s="22" t="str">
        <f>IFERROR(__xludf.DUMMYFUNCTION("""COMPUTED_VALUE"""),"General Challenges and Recommendations")</f>
        <v>General Challenges and Recommendations</v>
      </c>
      <c r="E376" s="46" t="str">
        <f>IFERROR(__xludf.DUMMYFUNCTION("if(or(QuotesCheckJudge="""",and(QuotesCheckJudge = ""primeiro"", QuotesCheckChallengeRecommendation1 &lt;&gt; """")), filter('Quotes-Check'!E376:F376, 'Quotes-Check'!E376:F376&lt;&gt;""glugluieie""),if(and(QuotesCheckJudge = ""segundo"", QuotesCheckChallengeRecommend"&amp;"ation2 &lt;&gt; """"), filter('Quotes-Check'!I376:J376, 'Quotes-Check'!I376:J376&lt;&gt;""glugluieie""),""""))"),"challenge")</f>
        <v>challenge</v>
      </c>
      <c r="F376" s="22" t="str">
        <f>IFERROR(__xludf.DUMMYFUNCTION("""COMPUTED_VALUE"""),"when you do continuous integration, you need to have a logical base. You need to have a lot of people committing in the code changes often. Um, you need to have a lot of machines. You have the machines where people are coding. You have the machines that a"&amp;"re building, you have the machines that are the way you run your database. You have the machines where you deploy to. ... you need a lot of machines interconnected, um, with visibility on each other that they can get to.")</f>
        <v>when you do continuous integration, you need to have a logical base. You need to have a lot of people committing in the code changes often. Um, you need to have a lot of machines. You have the machines where people are coding. You have the machines that are building, you have the machines that are the way you run your database. You have the machines where you deploy to. ... you need a lot of machines interconnected, um, with visibility on each other that they can get to.</v>
      </c>
      <c r="G376" s="22" t="str">
        <f>if(QuotesCheckJudgeAbstract&lt;&gt;"",QuotesCheckJudgeAbstract,if(or(QuotesCheckJudge="",and(QuotesCheckJudge = "primeiro", QuotesCheckChallengeRecommendation1 &lt;&gt; "")), QuotesCheckAbstract1,if(and(QuotesCheckJudge = "segundo", QuotesCheckChallengeRecommendation2 &lt;&gt; ""), QuotesCheckAbstract2,"")))</f>
        <v>You need a lot of interconnected machines running different services with visibility on each other to do continous deployment.</v>
      </c>
    </row>
    <row r="377">
      <c r="A377" s="22">
        <f>IFERROR(__xludf.DUMMYFUNCTION("if(or(QuotesCheckJudge="""",and(QuotesCheckJudge = ""primeiro"", QuotesCheckChallengeRecommendation1 &lt;&gt; """"),and(QuotesCheckJudge = ""segundo"", QuotesCheckChallengeRecommendation2 &lt;&gt; """")), filter('Quotes-Check'!A377:D377, 'Quotes-Check'!A377:D377&lt;&gt;""g"&amp;"lugluieie""),"""")"),10.0)</f>
        <v>10</v>
      </c>
      <c r="B377" s="22">
        <f>IFERROR(__xludf.DUMMYFUNCTION("""COMPUTED_VALUE"""),6.0)</f>
        <v>6</v>
      </c>
      <c r="C377" s="2" t="str">
        <f>IFERROR(__xludf.DUMMYFUNCTION("""COMPUTED_VALUE"""),"R1 / R2")</f>
        <v>R1 / R2</v>
      </c>
      <c r="D377" s="22" t="str">
        <f>IFERROR(__xludf.DUMMYFUNCTION("""COMPUTED_VALUE"""),"General Challenges and Recommendations")</f>
        <v>General Challenges and Recommendations</v>
      </c>
      <c r="E377" s="46" t="str">
        <f>IFERROR(__xludf.DUMMYFUNCTION("if(or(QuotesCheckJudge="""",and(QuotesCheckJudge = ""primeiro"", QuotesCheckChallengeRecommendation1 &lt;&gt; """")), filter('Quotes-Check'!E377:F377, 'Quotes-Check'!E377:F377&lt;&gt;""glugluieie""),if(and(QuotesCheckJudge = ""segundo"", QuotesCheckChallengeRecommend"&amp;"ation2 &lt;&gt; """"), filter('Quotes-Check'!I377:J377, 'Quotes-Check'!I377:J377&lt;&gt;""glugluieie""),""""))"),"challenge")</f>
        <v>challenge</v>
      </c>
      <c r="F377" s="22" t="str">
        <f>IFERROR(__xludf.DUMMYFUNCTION("""COMPUTED_VALUE"""),"You have the machines where you deploy to. Um, and quite often the students are in the same classroom on the wifi of the universities or the under the sub network, but the ports are not open [...] you need a lot of machines interconnected, um, with visibi"&amp;"lity on each other that they can get to. And that's hard in a, in a, in a classroom environment this year I had 78 students.")</f>
        <v>You have the machines where you deploy to. Um, and quite often the students are in the same classroom on the wifi of the universities or the under the sub network, but the ports are not open [...] you need a lot of machines interconnected, um, with visibility on each other that they can get to. And that's hard in a, in a, in a classroom environment this year I had 78 students.</v>
      </c>
      <c r="G377" s="22" t="str">
        <f>if(QuotesCheckJudgeAbstract&lt;&gt;"",QuotesCheckJudgeAbstract,if(or(QuotesCheckJudge="",and(QuotesCheckJudge = "primeiro", QuotesCheckChallengeRecommendation1 &lt;&gt; "")), QuotesCheckAbstract1,if(and(QuotesCheckJudge = "segundo", QuotesCheckChallengeRecommendation2 &lt;&gt; ""), QuotesCheckAbstract2,"")))</f>
        <v>The academy has network limitations to create near-real infrastructure</v>
      </c>
    </row>
    <row r="378">
      <c r="A378" s="22">
        <f>IFERROR(__xludf.DUMMYFUNCTION("if(or(QuotesCheckJudge="""",and(QuotesCheckJudge = ""primeiro"", QuotesCheckChallengeRecommendation1 &lt;&gt; """"),and(QuotesCheckJudge = ""segundo"", QuotesCheckChallengeRecommendation2 &lt;&gt; """")), filter('Quotes-Check'!A378:D378, 'Quotes-Check'!A378:D378&lt;&gt;""g"&amp;"lugluieie""),"""")"),10.0)</f>
        <v>10</v>
      </c>
      <c r="B378" s="22">
        <f>IFERROR(__xludf.DUMMYFUNCTION("""COMPUTED_VALUE"""),6.0)</f>
        <v>6</v>
      </c>
      <c r="C378" s="2" t="str">
        <f>IFERROR(__xludf.DUMMYFUNCTION("""COMPUTED_VALUE"""),"R1 / R2")</f>
        <v>R1 / R2</v>
      </c>
      <c r="D378" s="22" t="str">
        <f>IFERROR(__xludf.DUMMYFUNCTION("""COMPUTED_VALUE"""),"General Challenges and Recommendations")</f>
        <v>General Challenges and Recommendations</v>
      </c>
      <c r="E378" s="46" t="str">
        <f>IFERROR(__xludf.DUMMYFUNCTION("if(or(QuotesCheckJudge="""",and(QuotesCheckJudge = ""primeiro"", QuotesCheckChallengeRecommendation1 &lt;&gt; """")), filter('Quotes-Check'!E378:F378, 'Quotes-Check'!E378:F378&lt;&gt;""glugluieie""),if(and(QuotesCheckJudge = ""segundo"", QuotesCheckChallengeRecommend"&amp;"ation2 &lt;&gt; """"), filter('Quotes-Check'!I378:J378, 'Quotes-Check'!I378:J378&lt;&gt;""glugluieie""),""""))"),"recommendation")</f>
        <v>recommendation</v>
      </c>
      <c r="F378" s="22" t="str">
        <f>IFERROR(__xludf.DUMMYFUNCTION("""COMPUTED_VALUE""")," There was something like 17 groups.")</f>
        <v> There was something like 17 groups.</v>
      </c>
      <c r="G378" s="22" t="str">
        <f>if(QuotesCheckJudgeAbstract&lt;&gt;"",QuotesCheckJudgeAbstract,if(or(QuotesCheckJudge="",and(QuotesCheckJudge = "primeiro", QuotesCheckChallengeRecommendation1 &lt;&gt; "")), QuotesCheckAbstract1,if(and(QuotesCheckJudge = "segundo", QuotesCheckChallengeRecommendation2 &lt;&gt; ""), QuotesCheckAbstract2,"")))</f>
        <v>Students organized by groups.</v>
      </c>
    </row>
    <row r="379">
      <c r="A379" s="22">
        <f>IFERROR(__xludf.DUMMYFUNCTION("if(or(QuotesCheckJudge="""",and(QuotesCheckJudge = ""primeiro"", QuotesCheckChallengeRecommendation1 &lt;&gt; """"),and(QuotesCheckJudge = ""segundo"", QuotesCheckChallengeRecommendation2 &lt;&gt; """")), filter('Quotes-Check'!A379:D379, 'Quotes-Check'!A379:D379&lt;&gt;""g"&amp;"lugluieie""),"""")"),10.0)</f>
        <v>10</v>
      </c>
      <c r="B379" s="22">
        <f>IFERROR(__xludf.DUMMYFUNCTION("""COMPUTED_VALUE"""),7.0)</f>
        <v>7</v>
      </c>
      <c r="C379" s="2" t="str">
        <f>IFERROR(__xludf.DUMMYFUNCTION("""COMPUTED_VALUE"""),"R2 / R3")</f>
        <v>R2 / R3</v>
      </c>
      <c r="D379" s="22" t="str">
        <f>IFERROR(__xludf.DUMMYFUNCTION("""COMPUTED_VALUE"""),"General Challenges and Recommendations")</f>
        <v>General Challenges and Recommendations</v>
      </c>
      <c r="E379" s="46" t="str">
        <f>IFERROR(__xludf.DUMMYFUNCTION("if(or(QuotesCheckJudge="""",and(QuotesCheckJudge = ""primeiro"", QuotesCheckChallengeRecommendation1 &lt;&gt; """")), filter('Quotes-Check'!E379:F379, 'Quotes-Check'!E379:F379&lt;&gt;""glugluieie""),if(and(QuotesCheckJudge = ""segundo"", QuotesCheckChallengeRecommend"&amp;"ation2 &lt;&gt; """"), filter('Quotes-Check'!I379:J379, 'Quotes-Check'!I379:J379&lt;&gt;""glugluieie""),""""))"),"recommendation")</f>
        <v>recommendation</v>
      </c>
      <c r="F379" s="22" t="str">
        <f>IFERROR(__xludf.DUMMYFUNCTION("""COMPUTED_VALUE"""),"I ended up doing was to give each group a big virtual machine. And on that machine, they run three or four Docker images. Uh, one with Artifactory, one with Jenkins.")</f>
        <v>I ended up doing was to give each group a big virtual machine. And on that machine, they run three or four Docker images. Uh, one with Artifactory, one with Jenkins.</v>
      </c>
      <c r="G379" s="22" t="str">
        <f>if(QuotesCheckJudgeAbstract&lt;&gt;"",QuotesCheckJudgeAbstract,if(or(QuotesCheckJudge="",and(QuotesCheckJudge = "primeiro", QuotesCheckChallengeRecommendation1 &lt;&gt; "")), QuotesCheckAbstract1,if(and(QuotesCheckJudge = "segundo", QuotesCheckChallengeRecommendation2 &lt;&gt; ""), QuotesCheckAbstract2,"")))</f>
        <v>Give each group a big virtual machine. And on that machine, run three or four Docker images. One with Artifactory, other with Jenkins.</v>
      </c>
    </row>
    <row r="380">
      <c r="A380" s="22">
        <f>IFERROR(__xludf.DUMMYFUNCTION("if(or(QuotesCheckJudge="""",and(QuotesCheckJudge = ""primeiro"", QuotesCheckChallengeRecommendation1 &lt;&gt; """"),and(QuotesCheckJudge = ""segundo"", QuotesCheckChallengeRecommendation2 &lt;&gt; """")), filter('Quotes-Check'!A380:D380, 'Quotes-Check'!A380:D380&lt;&gt;""g"&amp;"lugluieie""),"""")"),10.0)</f>
        <v>10</v>
      </c>
      <c r="B380" s="22">
        <f>IFERROR(__xludf.DUMMYFUNCTION("""COMPUTED_VALUE"""),7.0)</f>
        <v>7</v>
      </c>
      <c r="C380" s="2" t="str">
        <f>IFERROR(__xludf.DUMMYFUNCTION("""COMPUTED_VALUE"""),"R2 / R3")</f>
        <v>R2 / R3</v>
      </c>
      <c r="D380" s="22" t="str">
        <f>IFERROR(__xludf.DUMMYFUNCTION("""COMPUTED_VALUE"""),"General Challenges and Recommendations")</f>
        <v>General Challenges and Recommendations</v>
      </c>
      <c r="E380" s="46" t="str">
        <f>IFERROR(__xludf.DUMMYFUNCTION("if(or(QuotesCheckJudge="""",and(QuotesCheckJudge = ""primeiro"", QuotesCheckChallengeRecommendation1 &lt;&gt; """")), filter('Quotes-Check'!E380:F380, 'Quotes-Check'!E380:F380&lt;&gt;""glugluieie""),if(and(QuotesCheckJudge = ""segundo"", QuotesCheckChallengeRecommend"&amp;"ation2 &lt;&gt; """"), filter('Quotes-Check'!I380:J380, 'Quotes-Check'!I380:J380&lt;&gt;""glugluieie""),""""))"),"challenge")</f>
        <v>challenge</v>
      </c>
      <c r="F380" s="22" t="str">
        <f>IFERROR(__xludf.DUMMYFUNCTION("""COMPUTED_VALUE""")," Uh, so that's a practical challenge that when you want to put it in place, and as a teacher, you want to be able to log into all of those machines to see what they're doing. .")</f>
        <v> Uh, so that's a practical challenge that when you want to put it in place, and as a teacher, you want to be able to log into all of those machines to see what they're doing. .</v>
      </c>
      <c r="G380" s="22" t="str">
        <f>if(QuotesCheckJudgeAbstract&lt;&gt;"",QuotesCheckJudgeAbstract,if(or(QuotesCheckJudge="",and(QuotesCheckJudge = "primeiro", QuotesCheckChallengeRecommendation1 &lt;&gt; "")), QuotesCheckAbstract1,if(and(QuotesCheckJudge = "segundo", QuotesCheckChallengeRecommendation2 &lt;&gt; ""), QuotesCheckAbstract2,"")))</f>
        <v>It's hard to supervise students' work when you use a lot of virtual machines</v>
      </c>
    </row>
    <row r="381">
      <c r="A381" s="22">
        <f>IFERROR(__xludf.DUMMYFUNCTION("if(or(QuotesCheckJudge="""",and(QuotesCheckJudge = ""primeiro"", QuotesCheckChallengeRecommendation1 &lt;&gt; """"),and(QuotesCheckJudge = ""segundo"", QuotesCheckChallengeRecommendation2 &lt;&gt; """")), filter('Quotes-Check'!A381:D381, 'Quotes-Check'!A381:D381&lt;&gt;""g"&amp;"lugluieie""),"""")"),10.0)</f>
        <v>10</v>
      </c>
      <c r="B381" s="22">
        <f>IFERROR(__xludf.DUMMYFUNCTION("""COMPUTED_VALUE"""),7.0)</f>
        <v>7</v>
      </c>
      <c r="C381" s="2" t="str">
        <f>IFERROR(__xludf.DUMMYFUNCTION("""COMPUTED_VALUE"""),"R2 / R3")</f>
        <v>R2 / R3</v>
      </c>
      <c r="D381" s="22" t="str">
        <f>IFERROR(__xludf.DUMMYFUNCTION("""COMPUTED_VALUE"""),"General Challenges and Recommendations")</f>
        <v>General Challenges and Recommendations</v>
      </c>
      <c r="E381" s="46" t="str">
        <f>IFERROR(__xludf.DUMMYFUNCTION("if(or(QuotesCheckJudge="""",and(QuotesCheckJudge = ""primeiro"", QuotesCheckChallengeRecommendation1 &lt;&gt; """")), filter('Quotes-Check'!E381:F381, 'Quotes-Check'!E381:F381&lt;&gt;""glugluieie""),if(and(QuotesCheckJudge = ""segundo"", QuotesCheckChallengeRecommend"&amp;"ation2 &lt;&gt; """"), filter('Quotes-Check'!I381:J381, 'Quotes-Check'!I381:J381&lt;&gt;""glugluieie""),""""))"),"challenge")</f>
        <v>challenge</v>
      </c>
      <c r="F381" s="22" t="str">
        <f>IFERROR(__xludf.DUMMYFUNCTION("""COMPUTED_VALUE""")," all of those challenges are basically how do you rebuild an enterprise environment into a university environment that is much more restrictive and doesn't have enough machines for them. Usually that's a real challenge.
")</f>
        <v> all of those challenges are basically how do you rebuild an enterprise environment into a university environment that is much more restrictive and doesn't have enough machines for them. Usually that's a real challenge.
</v>
      </c>
      <c r="G381" s="22" t="str">
        <f>if(QuotesCheckJudgeAbstract&lt;&gt;"",QuotesCheckJudgeAbstract,if(or(QuotesCheckJudge="",and(QuotesCheckJudge = "primeiro", QuotesCheckChallengeRecommendation1 &lt;&gt; "")), QuotesCheckAbstract1,if(and(QuotesCheckJudge = "segundo", QuotesCheckChallengeRecommendation2 &lt;&gt; ""), QuotesCheckAbstract2,"")))</f>
        <v>It is difficult to build an enterprise environment into a university environment that is much more restrictive and doesn't have enough machines for them.</v>
      </c>
    </row>
    <row r="382">
      <c r="A382" s="22">
        <f>IFERROR(__xludf.DUMMYFUNCTION("if(or(QuotesCheckJudge="""",and(QuotesCheckJudge = ""primeiro"", QuotesCheckChallengeRecommendation1 &lt;&gt; """"),and(QuotesCheckJudge = ""segundo"", QuotesCheckChallengeRecommendation2 &lt;&gt; """")), filter('Quotes-Check'!A382:D382, 'Quotes-Check'!A382:D382&lt;&gt;""g"&amp;"lugluieie""),"""")"),10.0)</f>
        <v>10</v>
      </c>
      <c r="B382" s="22">
        <f>IFERROR(__xludf.DUMMYFUNCTION("""COMPUTED_VALUE"""),8.0)</f>
        <v>8</v>
      </c>
      <c r="C382" s="2" t="str">
        <f>IFERROR(__xludf.DUMMYFUNCTION("""COMPUTED_VALUE"""),"R1 / R3")</f>
        <v>R1 / R3</v>
      </c>
      <c r="D382" s="22" t="str">
        <f>IFERROR(__xludf.DUMMYFUNCTION("""COMPUTED_VALUE"""),"General Challenges and Recommendations")</f>
        <v>General Challenges and Recommendations</v>
      </c>
      <c r="E382" s="46" t="str">
        <f>IFERROR(__xludf.DUMMYFUNCTION("if(or(QuotesCheckJudge="""",and(QuotesCheckJudge = ""primeiro"", QuotesCheckChallengeRecommendation1 &lt;&gt; """")), filter('Quotes-Check'!E382:F382, 'Quotes-Check'!E382:F382&lt;&gt;""glugluieie""),if(and(QuotesCheckJudge = ""segundo"", QuotesCheckChallengeRecommend"&amp;"ation2 &lt;&gt; """"), filter('Quotes-Check'!I382:J382, 'Quotes-Check'!I382:J382&lt;&gt;""glugluieie""),""""))"),"recommendation")</f>
        <v>recommendation</v>
      </c>
      <c r="F382" s="22" t="str">
        <f>IFERROR(__xludf.DUMMYFUNCTION("""COMPUTED_VALUE""")," first year I did a lot of concept on the whiteboard, um, and then went to exercise for the students to practice. It's not efficient.")</f>
        <v> first year I did a lot of concept on the whiteboard, um, and then went to exercise for the students to practice. It's not efficient.</v>
      </c>
      <c r="G382" s="22" t="str">
        <f>if(QuotesCheckJudgeAbstract&lt;&gt;"",QuotesCheckJudgeAbstract,if(or(QuotesCheckJudge="",and(QuotesCheckJudge = "primeiro", QuotesCheckChallengeRecommendation1 &lt;&gt; "")), QuotesCheckAbstract1,if(and(QuotesCheckJudge = "segundo", QuotesCheckChallengeRecommendation2 &lt;&gt; ""), QuotesCheckAbstract2,"")))</f>
        <v>Is not efficient to have more theoretical part than practice part during the course.</v>
      </c>
    </row>
    <row r="383">
      <c r="A383" s="22">
        <f>IFERROR(__xludf.DUMMYFUNCTION("if(or(QuotesCheckJudge="""",and(QuotesCheckJudge = ""primeiro"", QuotesCheckChallengeRecommendation1 &lt;&gt; """"),and(QuotesCheckJudge = ""segundo"", QuotesCheckChallengeRecommendation2 &lt;&gt; """")), filter('Quotes-Check'!A383:D383, 'Quotes-Check'!A383:D383&lt;&gt;""g"&amp;"lugluieie""),"""")"),10.0)</f>
        <v>10</v>
      </c>
      <c r="B383" s="22">
        <f>IFERROR(__xludf.DUMMYFUNCTION("""COMPUTED_VALUE"""),8.0)</f>
        <v>8</v>
      </c>
      <c r="C383" s="2" t="str">
        <f>IFERROR(__xludf.DUMMYFUNCTION("""COMPUTED_VALUE"""),"R1 / R3")</f>
        <v>R1 / R3</v>
      </c>
      <c r="D383" s="22" t="str">
        <f>IFERROR(__xludf.DUMMYFUNCTION("""COMPUTED_VALUE"""),"General Challenges and Recommendations")</f>
        <v>General Challenges and Recommendations</v>
      </c>
      <c r="E383" s="46" t="str">
        <f>IFERROR(__xludf.DUMMYFUNCTION("if(or(QuotesCheckJudge="""",and(QuotesCheckJudge = ""primeiro"", QuotesCheckChallengeRecommendation1 &lt;&gt; """")), filter('Quotes-Check'!E383:F383, 'Quotes-Check'!E383:F383&lt;&gt;""glugluieie""),if(and(QuotesCheckJudge = ""segundo"", QuotesCheckChallengeRecommend"&amp;"ation2 &lt;&gt; """"), filter('Quotes-Check'!I383:J383, 'Quotes-Check'!I383:J383&lt;&gt;""glugluieie""),""""))"),"recommendation")</f>
        <v>recommendation</v>
      </c>
      <c r="F383" s="22" t="str">
        <f>IFERROR(__xludf.DUMMYFUNCTION("""COMPUTED_VALUE"""),"Once you've been to the exercise session, you have to go back to the concept again and display them again because the, some concept only makes sense when you apply them.")</f>
        <v>Once you've been to the exercise session, you have to go back to the concept again and display them again because the, some concept only makes sense when you apply them.</v>
      </c>
      <c r="G383" s="22" t="str">
        <f>if(QuotesCheckJudgeAbstract&lt;&gt;"",QuotesCheckJudgeAbstract,if(or(QuotesCheckJudge="",and(QuotesCheckJudge = "primeiro", QuotesCheckChallengeRecommendation1 &lt;&gt; "")), QuotesCheckAbstract1,if(and(QuotesCheckJudge = "segundo", QuotesCheckChallengeRecommendation2 &lt;&gt; ""), QuotesCheckAbstract2,"")))</f>
        <v>DevOps concepts need to be shown in practice so that students can understand.</v>
      </c>
    </row>
    <row r="384">
      <c r="A384" s="22">
        <f>IFERROR(__xludf.DUMMYFUNCTION("if(or(QuotesCheckJudge="""",and(QuotesCheckJudge = ""primeiro"", QuotesCheckChallengeRecommendation1 &lt;&gt; """"),and(QuotesCheckJudge = ""segundo"", QuotesCheckChallengeRecommendation2 &lt;&gt; """")), filter('Quotes-Check'!A384:D384, 'Quotes-Check'!A384:D384&lt;&gt;""g"&amp;"lugluieie""),"""")"),10.0)</f>
        <v>10</v>
      </c>
      <c r="B384" s="22">
        <f>IFERROR(__xludf.DUMMYFUNCTION("""COMPUTED_VALUE"""),8.0)</f>
        <v>8</v>
      </c>
      <c r="C384" s="2" t="str">
        <f>IFERROR(__xludf.DUMMYFUNCTION("""COMPUTED_VALUE"""),"R1 / R3")</f>
        <v>R1 / R3</v>
      </c>
      <c r="D384" s="22" t="str">
        <f>IFERROR(__xludf.DUMMYFUNCTION("""COMPUTED_VALUE"""),"General Challenges and Recommendations")</f>
        <v>General Challenges and Recommendations</v>
      </c>
      <c r="E384" s="46" t="str">
        <f>IFERROR(__xludf.DUMMYFUNCTION("if(or(QuotesCheckJudge="""",and(QuotesCheckJudge = ""primeiro"", QuotesCheckChallengeRecommendation1 &lt;&gt; """")), filter('Quotes-Check'!E384:F384, 'Quotes-Check'!E384:F384&lt;&gt;""glugluieie""),if(and(QuotesCheckJudge = ""segundo"", QuotesCheckChallengeRecommend"&amp;"ation2 &lt;&gt; """"), filter('Quotes-Check'!I384:J384, 'Quotes-Check'!I384:J384&lt;&gt;""glugluieie""),""""))"),"challenge")</f>
        <v>challenge</v>
      </c>
      <c r="F384" s="22" t="str">
        <f>IFERROR(__xludf.DUMMYFUNCTION("""COMPUTED_VALUE"""),"It's hard for them to see all the values, layers of source side, real shoes, deployment side. They have a tendency because their students write code clicky works done, right? And it's hard to teach them that no wanting code somewhere.")</f>
        <v>It's hard for them to see all the values, layers of source side, real shoes, deployment side. They have a tendency because their students write code clicky works done, right? And it's hard to teach them that no wanting code somewhere.</v>
      </c>
      <c r="G384" s="22" t="str">
        <f>if(QuotesCheckJudgeAbstract&lt;&gt;"",QuotesCheckJudgeAbstract,if(or(QuotesCheckJudge="",and(QuotesCheckJudge = "primeiro", QuotesCheckChallengeRecommendation1 &lt;&gt; "")), QuotesCheckAbstract1,if(and(QuotesCheckJudge = "segundo", QuotesCheckChallengeRecommendation2 &lt;&gt; ""), QuotesCheckAbstract2,"")))</f>
        <v>It's hard for students to see the values of deployment side and they don't want to do operational activities.</v>
      </c>
    </row>
    <row r="385">
      <c r="A385" s="22">
        <f>IFERROR(__xludf.DUMMYFUNCTION("if(or(QuotesCheckJudge="""",and(QuotesCheckJudge = ""primeiro"", QuotesCheckChallengeRecommendation1 &lt;&gt; """"),and(QuotesCheckJudge = ""segundo"", QuotesCheckChallengeRecommendation2 &lt;&gt; """")), filter('Quotes-Check'!A385:D385, 'Quotes-Check'!A385:D385&lt;&gt;""g"&amp;"lugluieie""),"""")"),10.0)</f>
        <v>10</v>
      </c>
      <c r="B385" s="22">
        <f>IFERROR(__xludf.DUMMYFUNCTION("""COMPUTED_VALUE"""),9.0)</f>
        <v>9</v>
      </c>
      <c r="C385" s="2" t="str">
        <f>IFERROR(__xludf.DUMMYFUNCTION("""COMPUTED_VALUE"""),"R1 / R3")</f>
        <v>R1 / R3</v>
      </c>
      <c r="D385" s="22" t="str">
        <f>IFERROR(__xludf.DUMMYFUNCTION("""COMPUTED_VALUE"""),"General Challenges and Recommendations")</f>
        <v>General Challenges and Recommendations</v>
      </c>
      <c r="E385" s="46" t="str">
        <f>IFERROR(__xludf.DUMMYFUNCTION("if(or(QuotesCheckJudge="""",and(QuotesCheckJudge = ""primeiro"", QuotesCheckChallengeRecommendation1 &lt;&gt; """")), filter('Quotes-Check'!E385:F385, 'Quotes-Check'!E385:F385&lt;&gt;""glugluieie""),if(and(QuotesCheckJudge = ""segundo"", QuotesCheckChallengeRecommend"&amp;"ation2 &lt;&gt; """"), filter('Quotes-Check'!I385:J385, 'Quotes-Check'!I385:J385&lt;&gt;""glugluieie""),""""))"),"recommendation")</f>
        <v>recommendation</v>
      </c>
      <c r="F385" s="22" t="str">
        <f>IFERROR(__xludf.DUMMYFUNCTION("""COMPUTED_VALUE"""),"the second recommendation is update your exercises often. ... you can get everything set up.")</f>
        <v>the second recommendation is update your exercises often. ... you can get everything set up.</v>
      </c>
      <c r="G385" s="22" t="str">
        <f>if(QuotesCheckJudgeAbstract&lt;&gt;"",QuotesCheckJudgeAbstract,if(or(QuotesCheckJudge="",and(QuotesCheckJudge = "primeiro", QuotesCheckChallengeRecommendation1 &lt;&gt; "")), QuotesCheckAbstract1,if(and(QuotesCheckJudge = "segundo", QuotesCheckChallengeRecommendation2 &lt;&gt; ""), QuotesCheckAbstract2,"")))</f>
        <v>Update your exercises often to get everything set up.</v>
      </c>
    </row>
    <row r="386">
      <c r="A386" s="22">
        <f>IFERROR(__xludf.DUMMYFUNCTION("if(or(QuotesCheckJudge="""",and(QuotesCheckJudge = ""primeiro"", QuotesCheckChallengeRecommendation1 &lt;&gt; """"),and(QuotesCheckJudge = ""segundo"", QuotesCheckChallengeRecommendation2 &lt;&gt; """")), filter('Quotes-Check'!A386:D386, 'Quotes-Check'!A386:D386&lt;&gt;""g"&amp;"lugluieie""),"""")"),10.0)</f>
        <v>10</v>
      </c>
      <c r="B386" s="22">
        <f>IFERROR(__xludf.DUMMYFUNCTION("""COMPUTED_VALUE"""),9.0)</f>
        <v>9</v>
      </c>
      <c r="C386" s="2" t="str">
        <f>IFERROR(__xludf.DUMMYFUNCTION("""COMPUTED_VALUE"""),"R1 / R3")</f>
        <v>R1 / R3</v>
      </c>
      <c r="D386" s="22" t="str">
        <f>IFERROR(__xludf.DUMMYFUNCTION("""COMPUTED_VALUE"""),"General Challenges and Recommendations")</f>
        <v>General Challenges and Recommendations</v>
      </c>
      <c r="E386" s="46" t="str">
        <f>IFERROR(__xludf.DUMMYFUNCTION("if(or(QuotesCheckJudge="""",and(QuotesCheckJudge = ""primeiro"", QuotesCheckChallengeRecommendation1 &lt;&gt; """")), filter('Quotes-Check'!E386:F386, 'Quotes-Check'!E386:F386&lt;&gt;""glugluieie""),if(and(QuotesCheckJudge = ""segundo"", QuotesCheckChallengeRecommend"&amp;"ation2 &lt;&gt; """"), filter('Quotes-Check'!I386:J386, 'Quotes-Check'!I386:J386&lt;&gt;""glugluieie""),""""))"),"challenge")</f>
        <v>challenge</v>
      </c>
      <c r="F386" s="22" t="str">
        <f>IFERROR(__xludf.DUMMYFUNCTION("""COMPUTED_VALUE"""),"Um, we got bit by that quite a few times where we built the stack plus G unit plus, uh, we use, um, uh, some additional libraries for front-end, uh, some scripts for building Docker images, some version of Maven, and you need an Artifactory, et cetera. Yo"&amp;"u can get everything set up, everything works fine up to June. Then you go on summer break and then the next session comes up in September and you use what you've built well, too bad. In the middle of the summer, Jay, you need to release a new version tha"&amp;"t requires where some acts of Maven that requires this version of the stack of the student install from scratch on their machine.")</f>
        <v>Um, we got bit by that quite a few times where we built the stack plus G unit plus, uh, we use, um, uh, some additional libraries for front-end, uh, some scripts for building Docker images, some version of Maven, and you need an Artifactory, et cetera. You can get everything set up, everything works fine up to June. Then you go on summer break and then the next session comes up in September and you use what you've built well, too bad. In the middle of the summer, Jay, you need to release a new version that requires where some acts of Maven that requires this version of the stack of the student install from scratch on their machine.</v>
      </c>
      <c r="G386" s="22" t="str">
        <f>if(QuotesCheckJudgeAbstract&lt;&gt;"",QuotesCheckJudgeAbstract,if(or(QuotesCheckJudge="",and(QuotesCheckJudge = "primeiro", QuotesCheckChallengeRecommendation1 &lt;&gt; "")), QuotesCheckAbstract1,if(and(QuotesCheckJudge = "segundo", QuotesCheckChallengeRecommendation2 &lt;&gt; ""), QuotesCheckAbstract2,"")))</f>
        <v>Exercises can be outdated in few months.</v>
      </c>
    </row>
    <row r="387">
      <c r="A387" s="22">
        <f>IFERROR(__xludf.DUMMYFUNCTION("if(or(QuotesCheckJudge="""",and(QuotesCheckJudge = ""primeiro"", QuotesCheckChallengeRecommendation1 &lt;&gt; """"),and(QuotesCheckJudge = ""segundo"", QuotesCheckChallengeRecommendation2 &lt;&gt; """")), filter('Quotes-Check'!A387:D387, 'Quotes-Check'!A387:D387&lt;&gt;""g"&amp;"lugluieie""),"""")"),10.0)</f>
        <v>10</v>
      </c>
      <c r="B387" s="22">
        <f>IFERROR(__xludf.DUMMYFUNCTION("""COMPUTED_VALUE"""),9.0)</f>
        <v>9</v>
      </c>
      <c r="C387" s="2" t="str">
        <f>IFERROR(__xludf.DUMMYFUNCTION("""COMPUTED_VALUE"""),"R1 / R3")</f>
        <v>R1 / R3</v>
      </c>
      <c r="D387" s="22" t="str">
        <f>IFERROR(__xludf.DUMMYFUNCTION("""COMPUTED_VALUE"""),"General Challenges and Recommendations")</f>
        <v>General Challenges and Recommendations</v>
      </c>
      <c r="E387" s="46" t="str">
        <f>IFERROR(__xludf.DUMMYFUNCTION("if(or(QuotesCheckJudge="""",and(QuotesCheckJudge = ""primeiro"", QuotesCheckChallengeRecommendation1 &lt;&gt; """")), filter('Quotes-Check'!E387:F387, 'Quotes-Check'!E387:F387&lt;&gt;""glugluieie""),if(and(QuotesCheckJudge = ""segundo"", QuotesCheckChallengeRecommend"&amp;"ation2 &lt;&gt; """"), filter('Quotes-Check'!I387:J387, 'Quotes-Check'!I387:J387&lt;&gt;""glugluieie""),""""))"),"recommendation")</f>
        <v>recommendation</v>
      </c>
      <c r="F387" s="22" t="str">
        <f>IFERROR(__xludf.DUMMYFUNCTION("""COMPUTED_VALUE"""),"And then another team uses in a 13 deploys to environment that the first team cannot get to because it's a production environment that the coder will not get access to it. So in real life, you have different teams of people that talk only through some cha"&amp;"nnels. ")</f>
        <v>And then another team uses in a 13 deploys to environment that the first team cannot get to because it's a production environment that the coder will not get access to it. So in real life, you have different teams of people that talk only through some channels. </v>
      </c>
      <c r="G387" s="22" t="str">
        <f>if(QuotesCheckJudgeAbstract&lt;&gt;"",QuotesCheckJudgeAbstract,if(or(QuotesCheckJudge="",and(QuotesCheckJudge = "primeiro", QuotesCheckChallengeRecommendation1 &lt;&gt; "")), QuotesCheckAbstract1,if(and(QuotesCheckJudge = "segundo", QuotesCheckChallengeRecommendation2 &lt;&gt; ""), QuotesCheckAbstract2,"")))</f>
        <v>Show the operational constraints to students like coder will not get access to production environment.</v>
      </c>
    </row>
    <row r="388">
      <c r="A388" s="22">
        <f>IFERROR(__xludf.DUMMYFUNCTION("if(or(QuotesCheckJudge="""",and(QuotesCheckJudge = ""primeiro"", QuotesCheckChallengeRecommendation1 &lt;&gt; """"),and(QuotesCheckJudge = ""segundo"", QuotesCheckChallengeRecommendation2 &lt;&gt; """")), filter('Quotes-Check'!A388:D388, 'Quotes-Check'!A388:D388&lt;&gt;""g"&amp;"lugluieie""),"""")"),10.0)</f>
        <v>10</v>
      </c>
      <c r="B388" s="22">
        <f>IFERROR(__xludf.DUMMYFUNCTION("""COMPUTED_VALUE"""),10.0)</f>
        <v>10</v>
      </c>
      <c r="C388" s="2" t="str">
        <f>IFERROR(__xludf.DUMMYFUNCTION("""COMPUTED_VALUE"""),"R1 / R3")</f>
        <v>R1 / R3</v>
      </c>
      <c r="D388" s="22" t="str">
        <f>IFERROR(__xludf.DUMMYFUNCTION("""COMPUTED_VALUE"""),"General Challenges and Recommendations")</f>
        <v>General Challenges and Recommendations</v>
      </c>
      <c r="E388" s="46" t="str">
        <f>IFERROR(__xludf.DUMMYFUNCTION("if(or(QuotesCheckJudge="""",and(QuotesCheckJudge = ""primeiro"", QuotesCheckChallengeRecommendation1 &lt;&gt; """")), filter('Quotes-Check'!E388:F388, 'Quotes-Check'!E388:F388&lt;&gt;""glugluieie""),if(and(QuotesCheckJudge = ""segundo"", QuotesCheckChallengeRecommend"&amp;"ation2 &lt;&gt; """"), filter('Quotes-Check'!I388:J388, 'Quotes-Check'!I388:J388&lt;&gt;""glugluieie""),""""))"),"recommendation")</f>
        <v>recommendation</v>
      </c>
      <c r="F388" s="22" t="str">
        <f>IFERROR(__xludf.DUMMYFUNCTION("""COMPUTED_VALUE"""),"So you have to have your stack ready, but you have to update it with the current version of the software that you intend the students to use fairly close to the beginning of the session, if you don't want to be surprised. ")</f>
        <v>So you have to have your stack ready, but you have to update it with the current version of the software that you intend the students to use fairly close to the beginning of the session, if you don't want to be surprised. </v>
      </c>
      <c r="G388" s="22" t="str">
        <f>if(QuotesCheckJudgeAbstract&lt;&gt;"",QuotesCheckJudgeAbstract,if(or(QuotesCheckJudge="",and(QuotesCheckJudge = "primeiro", QuotesCheckChallengeRecommendation1 &lt;&gt; "")), QuotesCheckAbstract1,if(and(QuotesCheckJudge = "segundo", QuotesCheckChallengeRecommendation2 &lt;&gt; ""), QuotesCheckAbstract2,"")))</f>
        <v>Update your exercises frequently.</v>
      </c>
    </row>
    <row r="389">
      <c r="A389" s="22">
        <f>IFERROR(__xludf.DUMMYFUNCTION("if(or(QuotesCheckJudge="""",and(QuotesCheckJudge = ""primeiro"", QuotesCheckChallengeRecommendation1 &lt;&gt; """"),and(QuotesCheckJudge = ""segundo"", QuotesCheckChallengeRecommendation2 &lt;&gt; """")), filter('Quotes-Check'!A389:D389, 'Quotes-Check'!A389:D389&lt;&gt;""g"&amp;"lugluieie""),"""")"),10.0)</f>
        <v>10</v>
      </c>
      <c r="B389" s="22">
        <f>IFERROR(__xludf.DUMMYFUNCTION("""COMPUTED_VALUE"""),11.0)</f>
        <v>11</v>
      </c>
      <c r="C389" s="2" t="str">
        <f>IFERROR(__xludf.DUMMYFUNCTION("""COMPUTED_VALUE"""),"R1 / R2")</f>
        <v>R1 / R2</v>
      </c>
      <c r="D389" s="22" t="str">
        <f>IFERROR(__xludf.DUMMYFUNCTION("""COMPUTED_VALUE"""),"Environment Setup")</f>
        <v>Environment Setup</v>
      </c>
      <c r="E389" s="46" t="str">
        <f>IFERROR(__xludf.DUMMYFUNCTION("if(or(QuotesCheckJudge="""",and(QuotesCheckJudge = ""primeiro"", QuotesCheckChallengeRecommendation1 &lt;&gt; """")), filter('Quotes-Check'!E389:F389, 'Quotes-Check'!E389:F389&lt;&gt;""glugluieie""),if(and(QuotesCheckJudge = ""segundo"", QuotesCheckChallengeRecommend"&amp;"ation2 &lt;&gt; """"), filter('Quotes-Check'!I389:J389, 'Quotes-Check'!I389:J389&lt;&gt;""glugluieie""),""""))"),"recommendation")</f>
        <v>recommendation</v>
      </c>
      <c r="F389" s="22" t="str">
        <f>IFERROR(__xludf.DUMMYFUNCTION("""COMPUTED_VALUE"""),"The thing I've done to try to avoid a little bit of the mess is I want to go gradual. I want to be gradual in the class. So first I teach compilation and testing. Then I teach continuous integration. team A is going to build one piece team B is going to b"&amp;"uild another piece that depends upon what team is built. ")</f>
        <v>The thing I've done to try to avoid a little bit of the mess is I want to go gradual. I want to be gradual in the class. So first I teach compilation and testing. Then I teach continuous integration. team A is going to build one piece team B is going to build another piece that depends upon what team is built. </v>
      </c>
      <c r="G389" s="22" t="str">
        <f>if(QuotesCheckJudgeAbstract&lt;&gt;"",QuotesCheckJudgeAbstract,if(or(QuotesCheckJudge="",and(QuotesCheckJudge = "primeiro", QuotesCheckChallengeRecommendation1 &lt;&gt; "")), QuotesCheckAbstract1,if(and(QuotesCheckJudge = "segundo", QuotesCheckChallengeRecommendation2 &lt;&gt; ""), QuotesCheckAbstract2,"")))</f>
        <v>Teach DevOps giving the content gradually, like first teach compilation and testing, then continuous integration; do not give everything right away so easily.</v>
      </c>
    </row>
    <row r="390">
      <c r="A390" s="22">
        <f>IFERROR(__xludf.DUMMYFUNCTION("if(or(QuotesCheckJudge="""",and(QuotesCheckJudge = ""primeiro"", QuotesCheckChallengeRecommendation1 &lt;&gt; """"),and(QuotesCheckJudge = ""segundo"", QuotesCheckChallengeRecommendation2 &lt;&gt; """")), filter('Quotes-Check'!A390:D390, 'Quotes-Check'!A390:D390&lt;&gt;""g"&amp;"lugluieie""),"""")"),10.0)</f>
        <v>10</v>
      </c>
      <c r="B390" s="22">
        <f>IFERROR(__xludf.DUMMYFUNCTION("""COMPUTED_VALUE"""),11.0)</f>
        <v>11</v>
      </c>
      <c r="C390" s="2" t="str">
        <f>IFERROR(__xludf.DUMMYFUNCTION("""COMPUTED_VALUE"""),"R1 / R2")</f>
        <v>R1 / R2</v>
      </c>
      <c r="D390" s="22" t="str">
        <f>IFERROR(__xludf.DUMMYFUNCTION("""COMPUTED_VALUE"""),"Environment Setup")</f>
        <v>Environment Setup</v>
      </c>
      <c r="E390" s="46" t="str">
        <f>IFERROR(__xludf.DUMMYFUNCTION("if(or(QuotesCheckJudge="""",and(QuotesCheckJudge = ""primeiro"", QuotesCheckChallengeRecommendation1 &lt;&gt; """")), filter('Quotes-Check'!E390:F390, 'Quotes-Check'!E390:F390&lt;&gt;""glugluieie""),if(and(QuotesCheckJudge = ""segundo"", QuotesCheckChallengeRecommend"&amp;"ation2 &lt;&gt; """"), filter('Quotes-Check'!I390:J390, 'Quotes-Check'!I390:J390&lt;&gt;""glugluieie""),""""))"),"recommendation")</f>
        <v>recommendation</v>
      </c>
      <c r="F390" s="22" t="str">
        <f>IFERROR(__xludf.DUMMYFUNCTION("""COMPUTED_VALUE"""),"  they need Jenkins. So either you tell them to go install Jenkins, or what I've done is I say, Hey, here's a Docker image for Jenkins.")</f>
        <v>  they need Jenkins. So either you tell them to go install Jenkins, or what I've done is I say, Hey, here's a Docker image for Jenkins.</v>
      </c>
      <c r="G390" s="22" t="str">
        <f>if(QuotesCheckJudgeAbstract&lt;&gt;"",QuotesCheckJudgeAbstract,if(or(QuotesCheckJudge="",and(QuotesCheckJudge = "primeiro", QuotesCheckChallengeRecommendation1 &lt;&gt; "")), QuotesCheckAbstract1,if(and(QuotesCheckJudge = "segundo", QuotesCheckChallengeRecommendation2 &lt;&gt; ""), QuotesCheckAbstract2,"")))</f>
        <v>Use Jenkins through a Docker image.</v>
      </c>
    </row>
    <row r="391">
      <c r="A391" s="22">
        <f>IFERROR(__xludf.DUMMYFUNCTION("if(or(QuotesCheckJudge="""",and(QuotesCheckJudge = ""primeiro"", QuotesCheckChallengeRecommendation1 &lt;&gt; """"),and(QuotesCheckJudge = ""segundo"", QuotesCheckChallengeRecommendation2 &lt;&gt; """")), filter('Quotes-Check'!A391:D391, 'Quotes-Check'!A391:D391&lt;&gt;""g"&amp;"lugluieie""),"""")"),10.0)</f>
        <v>10</v>
      </c>
      <c r="B391" s="22">
        <f>IFERROR(__xludf.DUMMYFUNCTION("""COMPUTED_VALUE"""),12.0)</f>
        <v>12</v>
      </c>
      <c r="C391" s="2" t="str">
        <f>IFERROR(__xludf.DUMMYFUNCTION("""COMPUTED_VALUE"""),"R2 / R3")</f>
        <v>R2 / R3</v>
      </c>
      <c r="D391" s="22" t="str">
        <f>IFERROR(__xludf.DUMMYFUNCTION("""COMPUTED_VALUE"""),"Environment Setup")</f>
        <v>Environment Setup</v>
      </c>
      <c r="E391" s="46" t="str">
        <f>IFERROR(__xludf.DUMMYFUNCTION("if(or(QuotesCheckJudge="""",and(QuotesCheckJudge = ""primeiro"", QuotesCheckChallengeRecommendation1 &lt;&gt; """")), filter('Quotes-Check'!E391:F391, 'Quotes-Check'!E391:F391&lt;&gt;""glugluieie""),if(and(QuotesCheckJudge = ""segundo"", QuotesCheckChallengeRecommend"&amp;"ation2 &lt;&gt; """"), filter('Quotes-Check'!I391:J391, 'Quotes-Check'!I391:J391&lt;&gt;""glugluieie""),""""))"),"challenge")</f>
        <v>challenge</v>
      </c>
      <c r="F391" s="22" t="str">
        <f>IFERROR(__xludf.DUMMYFUNCTION("""COMPUTED_VALUE"""),"We have some students on Mac, some on Linux, some on windows, some have, um, computers that are led by the university. They came up to class with computers, with family version of windows that cannot run Docker because there is no hypervisor in it.
")</f>
        <v>We have some students on Mac, some on Linux, some on windows, some have, um, computers that are led by the university. They came up to class with computers, with family version of windows that cannot run Docker because there is no hypervisor in it.
</v>
      </c>
      <c r="G391" s="22" t="str">
        <f>if(QuotesCheckJudgeAbstract&lt;&gt;"",QuotesCheckJudgeAbstract,if(or(QuotesCheckJudge="",and(QuotesCheckJudge = "primeiro", QuotesCheckChallengeRecommendation1 &lt;&gt; "")), QuotesCheckAbstract1,if(and(QuotesCheckJudge = "segundo", QuotesCheckChallengeRecommendation2 &lt;&gt; ""), QuotesCheckAbstract2,"")))</f>
        <v>Different types of OSs can difficult the flow of environment setup.</v>
      </c>
    </row>
    <row r="392">
      <c r="A392" s="22">
        <f>IFERROR(__xludf.DUMMYFUNCTION("if(or(QuotesCheckJudge="""",and(QuotesCheckJudge = ""primeiro"", QuotesCheckChallengeRecommendation1 &lt;&gt; """"),and(QuotesCheckJudge = ""segundo"", QuotesCheckChallengeRecommendation2 &lt;&gt; """")), filter('Quotes-Check'!A392:D392, 'Quotes-Check'!A392:D392&lt;&gt;""g"&amp;"lugluieie""),"""")"),10.0)</f>
        <v>10</v>
      </c>
      <c r="B392" s="22">
        <f>IFERROR(__xludf.DUMMYFUNCTION("""COMPUTED_VALUE"""),12.0)</f>
        <v>12</v>
      </c>
      <c r="C392" s="2" t="str">
        <f>IFERROR(__xludf.DUMMYFUNCTION("""COMPUTED_VALUE"""),"R2 / R3")</f>
        <v>R2 / R3</v>
      </c>
      <c r="D392" s="22" t="str">
        <f>IFERROR(__xludf.DUMMYFUNCTION("""COMPUTED_VALUE"""),"Environment Setup")</f>
        <v>Environment Setup</v>
      </c>
      <c r="E392" s="46" t="str">
        <f>IFERROR(__xludf.DUMMYFUNCTION("if(or(QuotesCheckJudge="""",and(QuotesCheckJudge = ""primeiro"", QuotesCheckChallengeRecommendation1 &lt;&gt; """")), filter('Quotes-Check'!E392:F392, 'Quotes-Check'!E392:F392&lt;&gt;""glugluieie""),if(and(QuotesCheckJudge = ""segundo"", QuotesCheckChallengeRecommend"&amp;"ation2 &lt;&gt; """"), filter('Quotes-Check'!I392:J392, 'Quotes-Check'!I392:J392&lt;&gt;""glugluieie""),""""))"),"recommendation")</f>
        <v>recommendation</v>
      </c>
      <c r="F392" s="22" t="str">
        <f>IFERROR(__xludf.DUMMYFUNCTION("""COMPUTED_VALUE"""),"You don't know what is Docker yet, but here's a common line. Just run it. And then here's a common line to run. Artifactory you don't know what it means, just type it like this. Um, it will give you an Artifactory that's running.")</f>
        <v>You don't know what is Docker yet, but here's a common line. Just run it. And then here's a common line to run. Artifactory you don't know what it means, just type it like this. Um, it will give you an Artifactory that's running.</v>
      </c>
      <c r="G392" s="22" t="str">
        <f>if(QuotesCheckJudgeAbstract&lt;&gt;"",QuotesCheckJudgeAbstract,if(or(QuotesCheckJudge="",and(QuotesCheckJudge = "primeiro", QuotesCheckChallengeRecommendation1 &lt;&gt; "")), QuotesCheckAbstract1,if(and(QuotesCheckJudge = "segundo", QuotesCheckChallengeRecommendation2 &lt;&gt; ""), QuotesCheckAbstract2,"")))</f>
        <v>Use the tools like Docker and Artifactory in simplest way.</v>
      </c>
    </row>
    <row r="393">
      <c r="A393" s="22">
        <f>IFERROR(__xludf.DUMMYFUNCTION("if(or(QuotesCheckJudge="""",and(QuotesCheckJudge = ""primeiro"", QuotesCheckChallengeRecommendation1 &lt;&gt; """"),and(QuotesCheckJudge = ""segundo"", QuotesCheckChallengeRecommendation2 &lt;&gt; """")), filter('Quotes-Check'!A393:D393, 'Quotes-Check'!A393:D393&lt;&gt;""g"&amp;"lugluieie""),"""")"),10.0)</f>
        <v>10</v>
      </c>
      <c r="B393" s="22">
        <f>IFERROR(__xludf.DUMMYFUNCTION("""COMPUTED_VALUE"""),12.0)</f>
        <v>12</v>
      </c>
      <c r="C393" s="2" t="str">
        <f>IFERROR(__xludf.DUMMYFUNCTION("""COMPUTED_VALUE"""),"R2 / R3")</f>
        <v>R2 / R3</v>
      </c>
      <c r="D393" s="22" t="str">
        <f>IFERROR(__xludf.DUMMYFUNCTION("""COMPUTED_VALUE"""),"Environment Setup")</f>
        <v>Environment Setup</v>
      </c>
      <c r="E393" s="46" t="str">
        <f>IFERROR(__xludf.DUMMYFUNCTION("if(or(QuotesCheckJudge="""",and(QuotesCheckJudge = ""primeiro"", QuotesCheckChallengeRecommendation1 &lt;&gt; """")), filter('Quotes-Check'!E393:F393, 'Quotes-Check'!E393:F393&lt;&gt;""glugluieie""),if(and(QuotesCheckJudge = ""segundo"", QuotesCheckChallengeRecommend"&amp;"ation2 &lt;&gt; """"), filter('Quotes-Check'!I393:J393, 'Quotes-Check'!I393:J393&lt;&gt;""glugluieie""),""""))"),"recommendation")</f>
        <v>recommendation</v>
      </c>
      <c r="F393" s="22" t="str">
        <f>IFERROR(__xludf.DUMMYFUNCTION("""COMPUTED_VALUE"""),"And then as we go into more concept, like what is Jenkins and what is Artifactory and what is Docker, then we can go back on those things. ")</f>
        <v>And then as we go into more concept, like what is Jenkins and what is Artifactory and what is Docker, then we can go back on those things. </v>
      </c>
      <c r="G393" s="22" t="str">
        <f>if(QuotesCheckJudgeAbstract&lt;&gt;"",QuotesCheckJudgeAbstract,if(or(QuotesCheckJudge="",and(QuotesCheckJudge = "primeiro", QuotesCheckChallengeRecommendation1 &lt;&gt; "")), QuotesCheckAbstract1,if(and(QuotesCheckJudge = "segundo", QuotesCheckChallengeRecommendation2 &lt;&gt; ""), QuotesCheckAbstract2,"")))</f>
        <v>Study the tools more when you go into the concepts. For example, deep Docker when you teach containers.</v>
      </c>
    </row>
    <row r="394">
      <c r="A394" s="22">
        <f>IFERROR(__xludf.DUMMYFUNCTION("if(or(QuotesCheckJudge="""",and(QuotesCheckJudge = ""primeiro"", QuotesCheckChallengeRecommendation1 &lt;&gt; """"),and(QuotesCheckJudge = ""segundo"", QuotesCheckChallengeRecommendation2 &lt;&gt; """")), filter('Quotes-Check'!A394:D394, 'Quotes-Check'!A394:D394&lt;&gt;""g"&amp;"lugluieie""),"""")"),10.0)</f>
        <v>10</v>
      </c>
      <c r="B394" s="22">
        <f>IFERROR(__xludf.DUMMYFUNCTION("""COMPUTED_VALUE"""),13.0)</f>
        <v>13</v>
      </c>
      <c r="C394" s="2" t="str">
        <f>IFERROR(__xludf.DUMMYFUNCTION("""COMPUTED_VALUE"""),"R1 / R3")</f>
        <v>R1 / R3</v>
      </c>
      <c r="D394" s="22" t="str">
        <f>IFERROR(__xludf.DUMMYFUNCTION("""COMPUTED_VALUE"""),"Environment Setup")</f>
        <v>Environment Setup</v>
      </c>
      <c r="E394" s="46" t="str">
        <f>IFERROR(__xludf.DUMMYFUNCTION("if(or(QuotesCheckJudge="""",and(QuotesCheckJudge = ""primeiro"", QuotesCheckChallengeRecommendation1 &lt;&gt; """")), filter('Quotes-Check'!E394:F394, 'Quotes-Check'!E394:F394&lt;&gt;""glugluieie""),if(and(QuotesCheckJudge = ""segundo"", QuotesCheckChallengeRecommend"&amp;"ation2 &lt;&gt; """"), filter('Quotes-Check'!I394:J394, 'Quotes-Check'!I394:J394&lt;&gt;""glugluieie""),""""))"),"challenge")</f>
        <v>challenge</v>
      </c>
      <c r="F394" s="22" t="str">
        <f>IFERROR(__xludf.DUMMYFUNCTION("""COMPUTED_VALUE"""),"if you're the things and they've launch, you know, Docker and Jenkins, that's it or JDK, that's it. There's no memory left. Um, so is the environment set up is hard. ")</f>
        <v>if you're the things and they've launch, you know, Docker and Jenkins, that's it or JDK, that's it. There's no memory left. Um, so is the environment set up is hard. </v>
      </c>
      <c r="G394" s="22" t="str">
        <f>if(QuotesCheckJudgeAbstract&lt;&gt;"",QuotesCheckJudgeAbstract,if(or(QuotesCheckJudge="",and(QuotesCheckJudge = "primeiro", QuotesCheckChallengeRecommendation1 &lt;&gt; "")), QuotesCheckAbstract1,if(and(QuotesCheckJudge = "segundo", QuotesCheckChallengeRecommendation2 &lt;&gt; ""), QuotesCheckAbstract2,"")))</f>
        <v>Local environment set up is hard because it needs lots of hardware.</v>
      </c>
    </row>
    <row r="395">
      <c r="A395" s="22">
        <f>IFERROR(__xludf.DUMMYFUNCTION("if(or(QuotesCheckJudge="""",and(QuotesCheckJudge = ""primeiro"", QuotesCheckChallengeRecommendation1 &lt;&gt; """"),and(QuotesCheckJudge = ""segundo"", QuotesCheckChallengeRecommendation2 &lt;&gt; """")), filter('Quotes-Check'!A395:D395, 'Quotes-Check'!A395:D395&lt;&gt;""g"&amp;"lugluieie""),"""")"),10.0)</f>
        <v>10</v>
      </c>
      <c r="B395" s="22">
        <f>IFERROR(__xludf.DUMMYFUNCTION("""COMPUTED_VALUE"""),13.0)</f>
        <v>13</v>
      </c>
      <c r="C395" s="2" t="str">
        <f>IFERROR(__xludf.DUMMYFUNCTION("""COMPUTED_VALUE"""),"R1 / R3")</f>
        <v>R1 / R3</v>
      </c>
      <c r="D395" s="22" t="str">
        <f>IFERROR(__xludf.DUMMYFUNCTION("""COMPUTED_VALUE"""),"Environment Setup")</f>
        <v>Environment Setup</v>
      </c>
      <c r="E395" s="46" t="str">
        <f>IFERROR(__xludf.DUMMYFUNCTION("if(or(QuotesCheckJudge="""",and(QuotesCheckJudge = ""primeiro"", QuotesCheckChallengeRecommendation1 &lt;&gt; """")), filter('Quotes-Check'!E395:F395, 'Quotes-Check'!E395:F395&lt;&gt;""glugluieie""),if(and(QuotesCheckJudge = ""segundo"", QuotesCheckChallengeRecommend"&amp;"ation2 &lt;&gt; """"), filter('Quotes-Check'!I395:J395, 'Quotes-Check'!I395:J395&lt;&gt;""glugluieie""),""""))"),"recommendation")</f>
        <v>recommendation</v>
      </c>
      <c r="F395" s="22" t="str">
        <f>IFERROR(__xludf.DUMMYFUNCTION("""COMPUTED_VALUE"""),"what helps is to build something that is portable and something that can be broken down into several pieces where one student runs one bit and then another students runs the rest. It's also good because it forces them to work as a group.")</f>
        <v>what helps is to build something that is portable and something that can be broken down into several pieces where one student runs one bit and then another students runs the rest. It's also good because it forces them to work as a group.</v>
      </c>
      <c r="G395" s="22" t="str">
        <f>if(QuotesCheckJudgeAbstract&lt;&gt;"",QuotesCheckJudgeAbstract,if(or(QuotesCheckJudge="",and(QuotesCheckJudge = "primeiro", QuotesCheckChallengeRecommendation1 &lt;&gt; "")), QuotesCheckAbstract1,if(and(QuotesCheckJudge = "segundo", QuotesCheckChallengeRecommendation2 &lt;&gt; ""), QuotesCheckAbstract2,"")))</f>
        <v>Build something that is portable and something that can be broken down into several pieces where one student runs one bit and then another students runs the rest. </v>
      </c>
    </row>
    <row r="396">
      <c r="A396" s="22">
        <f>IFERROR(__xludf.DUMMYFUNCTION("if(or(QuotesCheckJudge="""",and(QuotesCheckJudge = ""primeiro"", QuotesCheckChallengeRecommendation1 &lt;&gt; """"),and(QuotesCheckJudge = ""segundo"", QuotesCheckChallengeRecommendation2 &lt;&gt; """")), filter('Quotes-Check'!A396:D396, 'Quotes-Check'!A396:D396&lt;&gt;""g"&amp;"lugluieie""),"""")"),10.0)</f>
        <v>10</v>
      </c>
      <c r="B396" s="22">
        <f>IFERROR(__xludf.DUMMYFUNCTION("""COMPUTED_VALUE"""),15.0)</f>
        <v>15</v>
      </c>
      <c r="C396" s="2" t="str">
        <f>IFERROR(__xludf.DUMMYFUNCTION("""COMPUTED_VALUE"""),"R1 / R3")</f>
        <v>R1 / R3</v>
      </c>
      <c r="D396" s="22" t="str">
        <f>IFERROR(__xludf.DUMMYFUNCTION("""COMPUTED_VALUE"""),"Tool / Technology")</f>
        <v>Tool / Technology</v>
      </c>
      <c r="E396" s="46" t="str">
        <f>IFERROR(__xludf.DUMMYFUNCTION("if(or(QuotesCheckJudge="""",and(QuotesCheckJudge = ""primeiro"", QuotesCheckChallengeRecommendation1 &lt;&gt; """")), filter('Quotes-Check'!E396:F396, 'Quotes-Check'!E396:F396&lt;&gt;""glugluieie""),if(and(QuotesCheckJudge = ""segundo"", QuotesCheckChallengeRecommend"&amp;"ation2 &lt;&gt; """"), filter('Quotes-Check'!I396:J396, 'Quotes-Check'!I396:J396&lt;&gt;""glugluieie""),""""))"),"recommendation")</f>
        <v>recommendation</v>
      </c>
      <c r="F396" s="22" t="str">
        <f>IFERROR(__xludf.DUMMYFUNCTION("""COMPUTED_VALUE"""),"in this year, if you do that, it's too early and it's going to be too hard for you as a teacher to, to know what's going on. So by forcing the technology stack and telling them, ")</f>
        <v>in this year, if you do that, it's too early and it's going to be too hard for you as a teacher to, to know what's going on. So by forcing the technology stack and telling them, </v>
      </c>
      <c r="G396" s="22" t="str">
        <f>if(QuotesCheckJudgeAbstract&lt;&gt;"",QuotesCheckJudgeAbstract,if(or(QuotesCheckJudge="",and(QuotesCheckJudge = "primeiro", QuotesCheckChallengeRecommendation1 &lt;&gt; "")), QuotesCheckAbstract1,if(and(QuotesCheckJudge = "segundo", QuotesCheckChallengeRecommendation2 &lt;&gt; ""), QuotesCheckAbstract2,"")))</f>
        <v>Force students to use technology stack used on course.</v>
      </c>
    </row>
    <row r="397">
      <c r="A397" s="22">
        <f>IFERROR(__xludf.DUMMYFUNCTION("if(or(QuotesCheckJudge="""",and(QuotesCheckJudge = ""primeiro"", QuotesCheckChallengeRecommendation1 &lt;&gt; """"),and(QuotesCheckJudge = ""segundo"", QuotesCheckChallengeRecommendation2 &lt;&gt; """")), filter('Quotes-Check'!A397:D397, 'Quotes-Check'!A397:D397&lt;&gt;""g"&amp;"lugluieie""),"""")"),10.0)</f>
        <v>10</v>
      </c>
      <c r="B397" s="22">
        <f>IFERROR(__xludf.DUMMYFUNCTION("""COMPUTED_VALUE"""),15.0)</f>
        <v>15</v>
      </c>
      <c r="C397" s="2" t="str">
        <f>IFERROR(__xludf.DUMMYFUNCTION("""COMPUTED_VALUE"""),"R1 / R3")</f>
        <v>R1 / R3</v>
      </c>
      <c r="D397" s="22" t="str">
        <f>IFERROR(__xludf.DUMMYFUNCTION("""COMPUTED_VALUE"""),"Tool / Technology")</f>
        <v>Tool / Technology</v>
      </c>
      <c r="E397" s="46" t="str">
        <f>IFERROR(__xludf.DUMMYFUNCTION("if(or(QuotesCheckJudge="""",and(QuotesCheckJudge = ""primeiro"", QuotesCheckChallengeRecommendation1 &lt;&gt; """")), filter('Quotes-Check'!E397:F397, 'Quotes-Check'!E397:F397&lt;&gt;""glugluieie""),if(and(QuotesCheckJudge = ""segundo"", QuotesCheckChallengeRecommend"&amp;"ation2 &lt;&gt; """"), filter('Quotes-Check'!I397:J397, 'Quotes-Check'!I397:J397&lt;&gt;""glugluieie""),""""))"),"recommendation")</f>
        <v>recommendation</v>
      </c>
      <c r="F397" s="22" t="str">
        <f>IFERROR(__xludf.DUMMYFUNCTION("""COMPUTED_VALUE"""),"we will also build a sample, which is on github. I'll send you the link. If you want. We build a sample that is called a cookie factory. Um, it's, it's a system to handle a cookie factory where you can order cookie pay for them, and you get a shopping car"&amp;"t with cookies, et cetera, right? So it's just a small sample,")</f>
        <v>we will also build a sample, which is on github. I'll send you the link. If you want. We build a sample that is called a cookie factory. Um, it's, it's a system to handle a cookie factory where you can order cookie pay for them, and you get a shopping cart with cookies, et cetera, right? So it's just a small sample,</v>
      </c>
      <c r="G397" s="22" t="str">
        <f>if(QuotesCheckJudgeAbstract&lt;&gt;"",QuotesCheckJudgeAbstract,if(or(QuotesCheckJudge="",and(QuotesCheckJudge = "primeiro", QuotesCheckChallengeRecommendation1 &lt;&gt; "")), QuotesCheckAbstract1,if(and(QuotesCheckJudge = "segundo", QuotesCheckChallengeRecommendation2 &lt;&gt; ""), QuotesCheckAbstract2,"")))</f>
        <v>Use small projects with students.</v>
      </c>
    </row>
    <row r="398">
      <c r="A398" s="22">
        <f>IFERROR(__xludf.DUMMYFUNCTION("if(or(QuotesCheckJudge="""",and(QuotesCheckJudge = ""primeiro"", QuotesCheckChallengeRecommendation1 &lt;&gt; """"),and(QuotesCheckJudge = ""segundo"", QuotesCheckChallengeRecommendation2 &lt;&gt; """")), filter('Quotes-Check'!A398:D398, 'Quotes-Check'!A398:D398&lt;&gt;""g"&amp;"lugluieie""),"""")"),10.0)</f>
        <v>10</v>
      </c>
      <c r="B398" s="22">
        <f>IFERROR(__xludf.DUMMYFUNCTION("""COMPUTED_VALUE"""),15.0)</f>
        <v>15</v>
      </c>
      <c r="C398" s="2" t="str">
        <f>IFERROR(__xludf.DUMMYFUNCTION("""COMPUTED_VALUE"""),"R1 / R3")</f>
        <v>R1 / R3</v>
      </c>
      <c r="D398" s="22" t="str">
        <f>IFERROR(__xludf.DUMMYFUNCTION("""COMPUTED_VALUE"""),"Tool / Technology")</f>
        <v>Tool / Technology</v>
      </c>
      <c r="E398" s="46" t="str">
        <f>IFERROR(__xludf.DUMMYFUNCTION("if(or(QuotesCheckJudge="""",and(QuotesCheckJudge = ""primeiro"", QuotesCheckChallengeRecommendation1 &lt;&gt; """")), filter('Quotes-Check'!E398:F398, 'Quotes-Check'!E398:F398&lt;&gt;""glugluieie""),if(and(QuotesCheckJudge = ""segundo"", QuotesCheckChallengeRecommend"&amp;"ation2 &lt;&gt; """"), filter('Quotes-Check'!I398:J398, 'Quotes-Check'!I398:J398&lt;&gt;""glugluieie""),""""))"),"recommendation")</f>
        <v>recommendation</v>
      </c>
      <c r="F398" s="22" t="str">
        <f>IFERROR(__xludf.DUMMYFUNCTION("""COMPUTED_VALUE"""),"but, but it's been billed according to the right guidelines that we want them to use. So they can borrow heavily from the sample. They can see sample testifies, sample integration test, sample Docker files, componentization, et cetera.")</f>
        <v>but, but it's been billed according to the right guidelines that we want them to use. So they can borrow heavily from the sample. They can see sample testifies, sample integration test, sample Docker files, componentization, et cetera.</v>
      </c>
      <c r="G398" s="22" t="str">
        <f>if(QuotesCheckJudgeAbstract&lt;&gt;"",QuotesCheckJudgeAbstract,if(or(QuotesCheckJudge="",and(QuotesCheckJudge = "primeiro", QuotesCheckChallengeRecommendation1 &lt;&gt; "")), QuotesCheckAbstract1,if(and(QuotesCheckJudge = "segundo", QuotesCheckChallengeRecommendation2 &lt;&gt; ""), QuotesCheckAbstract2,"")))</f>
        <v>Create examples and guidelines to help students develop their solution based on it.</v>
      </c>
    </row>
    <row r="399">
      <c r="A399" s="22">
        <f>IFERROR(__xludf.DUMMYFUNCTION("if(or(QuotesCheckJudge="""",and(QuotesCheckJudge = ""primeiro"", QuotesCheckChallengeRecommendation1 &lt;&gt; """"),and(QuotesCheckJudge = ""segundo"", QuotesCheckChallengeRecommendation2 &lt;&gt; """")), filter('Quotes-Check'!A399:D399, 'Quotes-Check'!A399:D399&lt;&gt;""g"&amp;"lugluieie""),"""")"),10.0)</f>
        <v>10</v>
      </c>
      <c r="B399" s="22">
        <f>IFERROR(__xludf.DUMMYFUNCTION("""COMPUTED_VALUE"""),15.0)</f>
        <v>15</v>
      </c>
      <c r="C399" s="2" t="str">
        <f>IFERROR(__xludf.DUMMYFUNCTION("""COMPUTED_VALUE"""),"R1 / R3")</f>
        <v>R1 / R3</v>
      </c>
      <c r="D399" s="22" t="str">
        <f>IFERROR(__xludf.DUMMYFUNCTION("""COMPUTED_VALUE"""),"Tool / Technology")</f>
        <v>Tool / Technology</v>
      </c>
      <c r="E399" s="46" t="str">
        <f>IFERROR(__xludf.DUMMYFUNCTION("if(or(QuotesCheckJudge="""",and(QuotesCheckJudge = ""primeiro"", QuotesCheckChallengeRecommendation1 &lt;&gt; """")), filter('Quotes-Check'!E399:F399, 'Quotes-Check'!E399:F399&lt;&gt;""glugluieie""),if(and(QuotesCheckJudge = ""segundo"", QuotesCheckChallengeRecommend"&amp;"ation2 &lt;&gt; """"), filter('Quotes-Check'!I399:J399, 'Quotes-Check'!I399:J399&lt;&gt;""glugluieie""),""""))"),"recommendation")</f>
        <v>recommendation</v>
      </c>
      <c r="F399" s="22" t="str">
        <f>IFERROR(__xludf.DUMMYFUNCTION("""COMPUTED_VALUE"""),"I mean, they're free to do what they want from a functional standpoint in the project.")</f>
        <v>I mean, they're free to do what they want from a functional standpoint in the project.</v>
      </c>
      <c r="G399" s="22" t="str">
        <f>if(QuotesCheckJudgeAbstract&lt;&gt;"",QuotesCheckJudgeAbstract,if(or(QuotesCheckJudge="",and(QuotesCheckJudge = "primeiro", QuotesCheckChallengeRecommendation1 &lt;&gt; "")), QuotesCheckAbstract1,if(and(QuotesCheckJudge = "segundo", QuotesCheckChallengeRecommendation2 &lt;&gt; ""), QuotesCheckAbstract2,"")))</f>
        <v>It is necessary to give freedom to student develop their functional solution.</v>
      </c>
    </row>
    <row r="400">
      <c r="A400" s="22">
        <f>IFERROR(__xludf.DUMMYFUNCTION("if(or(QuotesCheckJudge="""",and(QuotesCheckJudge = ""primeiro"", QuotesCheckChallengeRecommendation1 &lt;&gt; """"),and(QuotesCheckJudge = ""segundo"", QuotesCheckChallengeRecommendation2 &lt;&gt; """")), filter('Quotes-Check'!A400:D400, 'Quotes-Check'!A400:D400&lt;&gt;""g"&amp;"lugluieie""),"""")"),10.0)</f>
        <v>10</v>
      </c>
      <c r="B400" s="22">
        <f>IFERROR(__xludf.DUMMYFUNCTION("""COMPUTED_VALUE"""),15.0)</f>
        <v>15</v>
      </c>
      <c r="C400" s="2" t="str">
        <f>IFERROR(__xludf.DUMMYFUNCTION("""COMPUTED_VALUE"""),"R1 / R3")</f>
        <v>R1 / R3</v>
      </c>
      <c r="D400" s="22" t="str">
        <f>IFERROR(__xludf.DUMMYFUNCTION("""COMPUTED_VALUE"""),"Tool / Technology")</f>
        <v>Tool / Technology</v>
      </c>
      <c r="E400" s="46" t="str">
        <f>IFERROR(__xludf.DUMMYFUNCTION("if(or(QuotesCheckJudge="""",and(QuotesCheckJudge = ""primeiro"", QuotesCheckChallengeRecommendation1 &lt;&gt; """")), filter('Quotes-Check'!E400:F400, 'Quotes-Check'!E400:F400&lt;&gt;""glugluieie""),if(and(QuotesCheckJudge = ""segundo"", QuotesCheckChallengeRecommend"&amp;"ation2 &lt;&gt; """"), filter('Quotes-Check'!I400:J400, 'Quotes-Check'!I400:J400&lt;&gt;""glugluieie""),""""))"),"recommendation")</f>
        <v>recommendation</v>
      </c>
      <c r="F400" s="22" t="str">
        <f>IFERROR(__xludf.DUMMYFUNCTION("""COMPUTED_VALUE"""),"but from a tools and technology, we force just on them to avoid too many variation between the groups.")</f>
        <v>but from a tools and technology, we force just on them to avoid too many variation between the groups.</v>
      </c>
      <c r="G400" s="22" t="str">
        <f>if(QuotesCheckJudgeAbstract&lt;&gt;"",QuotesCheckJudgeAbstract,if(or(QuotesCheckJudge="",and(QuotesCheckJudge = "primeiro", QuotesCheckChallengeRecommendation1 &lt;&gt; "")), QuotesCheckAbstract1,if(and(QuotesCheckJudge = "segundo", QuotesCheckChallengeRecommendation2 &lt;&gt; ""), QuotesCheckAbstract2,"")))</f>
        <v>We force tools and tecnology and alert them to avoid too many variation between the groups.</v>
      </c>
    </row>
    <row r="401">
      <c r="A401" s="22">
        <f>IFERROR(__xludf.DUMMYFUNCTION("if(or(QuotesCheckJudge="""",and(QuotesCheckJudge = ""primeiro"", QuotesCheckChallengeRecommendation1 &lt;&gt; """"),and(QuotesCheckJudge = ""segundo"", QuotesCheckChallengeRecommendation2 &lt;&gt; """")), filter('Quotes-Check'!A401:D401, 'Quotes-Check'!A401:D401&lt;&gt;""g"&amp;"lugluieie""),"""")"),10.0)</f>
        <v>10</v>
      </c>
      <c r="B401" s="22">
        <f>IFERROR(__xludf.DUMMYFUNCTION("""COMPUTED_VALUE"""),16.0)</f>
        <v>16</v>
      </c>
      <c r="C401" s="2" t="str">
        <f>IFERROR(__xludf.DUMMYFUNCTION("""COMPUTED_VALUE"""),"R1 / R2")</f>
        <v>R1 / R2</v>
      </c>
      <c r="D401" s="22" t="str">
        <f>IFERROR(__xludf.DUMMYFUNCTION("""COMPUTED_VALUE"""),"DevOps Concepts")</f>
        <v>DevOps Concepts</v>
      </c>
      <c r="E401" s="46" t="str">
        <f>IFERROR(__xludf.DUMMYFUNCTION("if(or(QuotesCheckJudge="""",and(QuotesCheckJudge = ""primeiro"", QuotesCheckChallengeRecommendation1 &lt;&gt; """")), filter('Quotes-Check'!E401:F401, 'Quotes-Check'!E401:F401&lt;&gt;""glugluieie""),if(and(QuotesCheckJudge = ""segundo"", QuotesCheckChallengeRecommend"&amp;"ation2 &lt;&gt; """"), filter('Quotes-Check'!I401:J401, 'Quotes-Check'!I401:J401&lt;&gt;""glugluieie""),""""))"),"recommendation")</f>
        <v>recommendation</v>
      </c>
      <c r="F401" s="22" t="str">
        <f>IFERROR(__xludf.DUMMYFUNCTION("""COMPUTED_VALUE"""),"I was saying at the beginning is that when you tell them that they're going to get their hands dirty and things that work one day will not work the other day, they start laughing. They don't take it seriously. Um, and then when they, when they building an"&amp;"d they build a script to, I don't know, run some integration tests or to magically build Docker images and deploy them, it works on the machine on one guy of the group because they're working group, right? So they talk together. The one guy actually typin"&amp;"g on the keyboard, he commits a script and they go, yes, we're done for the day. Let's go to some of the tasks, right? And then the next day somebody else was in the group wants to use it. And it doesn't work for them because they have a different environ"&amp;"ment because the script was assuming that the Docker was installed.
")</f>
        <v>I was saying at the beginning is that when you tell them that they're going to get their hands dirty and things that work one day will not work the other day, they start laughing. They don't take it seriously. Um, and then when they, when they building and they build a script to, I don't know, run some integration tests or to magically build Docker images and deploy them, it works on the machine on one guy of the group because they're working group, right? So they talk together. The one guy actually typing on the keyboard, he commits a script and they go, yes, we're done for the day. Let's go to some of the tasks, right? And then the next day somebody else was in the group wants to use it. And it doesn't work for them because they have a different environment because the script was assuming that the Docker was installed.
</v>
      </c>
      <c r="G401" s="22" t="str">
        <f>if(QuotesCheckJudgeAbstract&lt;&gt;"",QuotesCheckJudgeAbstract,if(or(QuotesCheckJudge="",and(QuotesCheckJudge = "primeiro", QuotesCheckChallengeRecommendation1 &lt;&gt; "")), QuotesCheckAbstract1,if(and(QuotesCheckJudge = "segundo", QuotesCheckChallengeRecommendation2 &lt;&gt; ""), QuotesCheckAbstract2,"")))</f>
        <v>Students only understand problems of the environment setup when they experiment in the practice.</v>
      </c>
    </row>
    <row r="402">
      <c r="A402" s="22">
        <f>IFERROR(__xludf.DUMMYFUNCTION("if(or(QuotesCheckJudge="""",and(QuotesCheckJudge = ""primeiro"", QuotesCheckChallengeRecommendation1 &lt;&gt; """"),and(QuotesCheckJudge = ""segundo"", QuotesCheckChallengeRecommendation2 &lt;&gt; """")), filter('Quotes-Check'!A402:D402, 'Quotes-Check'!A402:D402&lt;&gt;""g"&amp;"lugluieie""),"""")"),10.0)</f>
        <v>10</v>
      </c>
      <c r="B402" s="22">
        <f>IFERROR(__xludf.DUMMYFUNCTION("""COMPUTED_VALUE"""),17.0)</f>
        <v>17</v>
      </c>
      <c r="C402" s="2" t="str">
        <f>IFERROR(__xludf.DUMMYFUNCTION("""COMPUTED_VALUE"""),"R2 / R3")</f>
        <v>R2 / R3</v>
      </c>
      <c r="D402" s="22" t="str">
        <f>IFERROR(__xludf.DUMMYFUNCTION("""COMPUTED_VALUE"""),"DevOps Concepts")</f>
        <v>DevOps Concepts</v>
      </c>
      <c r="E402" s="46" t="str">
        <f>IFERROR(__xludf.DUMMYFUNCTION("if(or(QuotesCheckJudge="""",and(QuotesCheckJudge = ""primeiro"", QuotesCheckChallengeRecommendation1 &lt;&gt; """")), filter('Quotes-Check'!E402:F402, 'Quotes-Check'!E402:F402&lt;&gt;""glugluieie""),if(and(QuotesCheckJudge = ""segundo"", QuotesCheckChallengeRecommend"&amp;"ation2 &lt;&gt; """"), filter('Quotes-Check'!I402:J402, 'Quotes-Check'!I402:J402&lt;&gt;""glugluieie""),""""))"),"challenge")</f>
        <v>challenge</v>
      </c>
      <c r="F402" s="22" t="str">
        <f>IFERROR(__xludf.DUMMYFUNCTION("""COMPUTED_VALUE"""),"So one of the challenges regarding the culture, if you want, is that when you tell them that initially they don't believe it. And only when they start doing it, they do believe it. ")</f>
        <v>So one of the challenges regarding the culture, if you want, is that when you tell them that initially they don't believe it. And only when they start doing it, they do believe it. </v>
      </c>
      <c r="G402" s="22" t="str">
        <f>if(QuotesCheckJudgeAbstract&lt;&gt;"",QuotesCheckJudgeAbstract,if(or(QuotesCheckJudge="",and(QuotesCheckJudge = "primeiro", QuotesCheckChallengeRecommendation1 &lt;&gt; "")), QuotesCheckAbstract1,if(and(QuotesCheckJudge = "segundo", QuotesCheckChallengeRecommendation2 &lt;&gt; ""), QuotesCheckAbstract2,"")))</f>
        <v>Students only believe the importance of DevOps mindset when they experiment in the practice.</v>
      </c>
    </row>
    <row r="403">
      <c r="A403" s="22">
        <f>IFERROR(__xludf.DUMMYFUNCTION("if(or(QuotesCheckJudge="""",and(QuotesCheckJudge = ""primeiro"", QuotesCheckChallengeRecommendation1 &lt;&gt; """"),and(QuotesCheckJudge = ""segundo"", QuotesCheckChallengeRecommendation2 &lt;&gt; """")), filter('Quotes-Check'!A403:D403, 'Quotes-Check'!A403:D403&lt;&gt;""g"&amp;"lugluieie""),"""")"),10.0)</f>
        <v>10</v>
      </c>
      <c r="B403" s="22">
        <f>IFERROR(__xludf.DUMMYFUNCTION("""COMPUTED_VALUE"""),17.0)</f>
        <v>17</v>
      </c>
      <c r="C403" s="2" t="str">
        <f>IFERROR(__xludf.DUMMYFUNCTION("""COMPUTED_VALUE"""),"R2 / R3")</f>
        <v>R2 / R3</v>
      </c>
      <c r="D403" s="22" t="str">
        <f>IFERROR(__xludf.DUMMYFUNCTION("""COMPUTED_VALUE"""),"DevOps Concepts")</f>
        <v>DevOps Concepts</v>
      </c>
      <c r="E403" s="46" t="str">
        <f>IFERROR(__xludf.DUMMYFUNCTION("if(or(QuotesCheckJudge="""",and(QuotesCheckJudge = ""primeiro"", QuotesCheckChallengeRecommendation1 &lt;&gt; """")), filter('Quotes-Check'!E403:F403, 'Quotes-Check'!E403:F403&lt;&gt;""glugluieie""),if(and(QuotesCheckJudge = ""segundo"", QuotesCheckChallengeRecommend"&amp;"ation2 &lt;&gt; """"), filter('Quotes-Check'!I403:J403, 'Quotes-Check'!I403:J403&lt;&gt;""glugluieie""),""""))"),"recommendation")</f>
        <v>recommendation</v>
      </c>
      <c r="F403" s="22" t="str">
        <f>IFERROR(__xludf.DUMMYFUNCTION("""COMPUTED_VALUE"""),"That's why we build a class where we have a ratio of about one hour of classroom concept teaching on the whiteboard or something at three hours where they actually type on the keyboard of practical session. I think that's important. Otherwise they don't s"&amp;"ee it. ")</f>
        <v>That's why we build a class where we have a ratio of about one hour of classroom concept teaching on the whiteboard or something at three hours where they actually type on the keyboard of practical session. I think that's important. Otherwise they don't see it. </v>
      </c>
      <c r="G403" s="22" t="str">
        <f>if(QuotesCheckJudgeAbstract&lt;&gt;"",QuotesCheckJudgeAbstract,if(or(QuotesCheckJudge="",and(QuotesCheckJudge = "primeiro", QuotesCheckChallengeRecommendation1 &lt;&gt; "")), QuotesCheckAbstract1,if(and(QuotesCheckJudge = "segundo", QuotesCheckChallengeRecommendation2 &lt;&gt; ""), QuotesCheckAbstract2,"")))</f>
        <v>One hour of classrom concept teaching and three hours of practical session.</v>
      </c>
    </row>
    <row r="404">
      <c r="A404" s="22">
        <f>IFERROR(__xludf.DUMMYFUNCTION("if(or(QuotesCheckJudge="""",and(QuotesCheckJudge = ""primeiro"", QuotesCheckChallengeRecommendation1 &lt;&gt; """"),and(QuotesCheckJudge = ""segundo"", QuotesCheckChallengeRecommendation2 &lt;&gt; """")), filter('Quotes-Check'!A404:D404, 'Quotes-Check'!A404:D404&lt;&gt;""g"&amp;"lugluieie""),"""")"),10.0)</f>
        <v>10</v>
      </c>
      <c r="B404" s="22">
        <f>IFERROR(__xludf.DUMMYFUNCTION("""COMPUTED_VALUE"""),19.0)</f>
        <v>19</v>
      </c>
      <c r="C404" s="2" t="str">
        <f>IFERROR(__xludf.DUMMYFUNCTION("""COMPUTED_VALUE"""),"R1 / R3")</f>
        <v>R1 / R3</v>
      </c>
      <c r="D404" s="22" t="str">
        <f>IFERROR(__xludf.DUMMYFUNCTION("""COMPUTED_VALUE"""),"Class Preparation")</f>
        <v>Class Preparation</v>
      </c>
      <c r="E404" s="46" t="str">
        <f>IFERROR(__xludf.DUMMYFUNCTION("if(or(QuotesCheckJudge="""",and(QuotesCheckJudge = ""primeiro"", QuotesCheckChallengeRecommendation1 &lt;&gt; """")), filter('Quotes-Check'!E404:F404, 'Quotes-Check'!E404:F404&lt;&gt;""glugluieie""),if(and(QuotesCheckJudge = ""segundo"", QuotesCheckChallengeRecommend"&amp;"ation2 &lt;&gt; """"), filter('Quotes-Check'!I404:J404, 'Quotes-Check'!I404:J404&lt;&gt;""glugluieie""),""""))"),"challenge")</f>
        <v>challenge</v>
      </c>
      <c r="F404" s="22" t="str">
        <f>IFERROR(__xludf.DUMMYFUNCTION("""COMPUTED_VALUE"""),"what is hard is to be prepared with, um, a technology stack that is robust and simple or very simple so that you know exactly what you look when you help them debug.")</f>
        <v>what is hard is to be prepared with, um, a technology stack that is robust and simple or very simple so that you know exactly what you look when you help them debug.</v>
      </c>
      <c r="G404" s="22" t="str">
        <f>if(QuotesCheckJudgeAbstract&lt;&gt;"",QuotesCheckJudgeAbstract,if(or(QuotesCheckJudge="",and(QuotesCheckJudge = "primeiro", QuotesCheckChallengeRecommendation1 &lt;&gt; "")), QuotesCheckAbstract1,if(and(QuotesCheckJudge = "segundo", QuotesCheckChallengeRecommendation2 &lt;&gt; ""), QuotesCheckAbstract2,"")))</f>
        <v>It is hard to prepare a robust and simple technology stack.</v>
      </c>
    </row>
    <row r="405">
      <c r="A405" s="22">
        <f>IFERROR(__xludf.DUMMYFUNCTION("if(or(QuotesCheckJudge="""",and(QuotesCheckJudge = ""primeiro"", QuotesCheckChallengeRecommendation1 &lt;&gt; """"),and(QuotesCheckJudge = ""segundo"", QuotesCheckChallengeRecommendation2 &lt;&gt; """")), filter('Quotes-Check'!A405:D405, 'Quotes-Check'!A405:D405&lt;&gt;""g"&amp;"lugluieie""),"""")"),10.0)</f>
        <v>10</v>
      </c>
      <c r="B405" s="22">
        <f>IFERROR(__xludf.DUMMYFUNCTION("""COMPUTED_VALUE"""),19.0)</f>
        <v>19</v>
      </c>
      <c r="C405" s="2" t="str">
        <f>IFERROR(__xludf.DUMMYFUNCTION("""COMPUTED_VALUE"""),"R1 / R3")</f>
        <v>R1 / R3</v>
      </c>
      <c r="D405" s="22" t="str">
        <f>IFERROR(__xludf.DUMMYFUNCTION("""COMPUTED_VALUE"""),"Class Preparation")</f>
        <v>Class Preparation</v>
      </c>
      <c r="E405" s="46" t="str">
        <f>IFERROR(__xludf.DUMMYFUNCTION("if(or(QuotesCheckJudge="""",and(QuotesCheckJudge = ""primeiro"", QuotesCheckChallengeRecommendation1 &lt;&gt; """")), filter('Quotes-Check'!E405:F405, 'Quotes-Check'!E405:F405&lt;&gt;""glugluieie""),if(and(QuotesCheckJudge = ""segundo"", QuotesCheckChallengeRecommend"&amp;"ation2 &lt;&gt; """"), filter('Quotes-Check'!I405:J405, 'Quotes-Check'!I405:J405&lt;&gt;""glugluieie""),""""))"),"challenge")</f>
        <v>challenge</v>
      </c>
      <c r="F405" s="22" t="str">
        <f>IFERROR(__xludf.DUMMYFUNCTION("""COMPUTED_VALUE"""),"It's mostly the preparation of the exercise that is demanding.")</f>
        <v>It's mostly the preparation of the exercise that is demanding.</v>
      </c>
      <c r="G405" s="22" t="str">
        <f>if(QuotesCheckJudgeAbstract&lt;&gt;"",QuotesCheckJudgeAbstract,if(or(QuotesCheckJudge="",and(QuotesCheckJudge = "primeiro", QuotesCheckChallengeRecommendation1 &lt;&gt; "")), QuotesCheckAbstract1,if(and(QuotesCheckJudge = "segundo", QuotesCheckChallengeRecommendation2 &lt;&gt; ""), QuotesCheckAbstract2,"")))</f>
        <v>The preparation of the exercise is demanding.</v>
      </c>
    </row>
    <row r="406">
      <c r="A406" s="22">
        <f>IFERROR(__xludf.DUMMYFUNCTION("if(or(QuotesCheckJudge="""",and(QuotesCheckJudge = ""primeiro"", QuotesCheckChallengeRecommendation1 &lt;&gt; """"),and(QuotesCheckJudge = ""segundo"", QuotesCheckChallengeRecommendation2 &lt;&gt; """")), filter('Quotes-Check'!A406:D406, 'Quotes-Check'!A406:D406&lt;&gt;""g"&amp;"lugluieie""),"""")"),10.0)</f>
        <v>10</v>
      </c>
      <c r="B406" s="22">
        <f>IFERROR(__xludf.DUMMYFUNCTION("""COMPUTED_VALUE"""),19.0)</f>
        <v>19</v>
      </c>
      <c r="C406" s="2" t="str">
        <f>IFERROR(__xludf.DUMMYFUNCTION("""COMPUTED_VALUE"""),"R1 / R3")</f>
        <v>R1 / R3</v>
      </c>
      <c r="D406" s="22" t="str">
        <f>IFERROR(__xludf.DUMMYFUNCTION("""COMPUTED_VALUE"""),"Class Preparation")</f>
        <v>Class Preparation</v>
      </c>
      <c r="E406" s="46" t="str">
        <f>IFERROR(__xludf.DUMMYFUNCTION("if(or(QuotesCheckJudge="""",and(QuotesCheckJudge = ""primeiro"", QuotesCheckChallengeRecommendation1 &lt;&gt; """")), filter('Quotes-Check'!E406:F406, 'Quotes-Check'!E406:F406&lt;&gt;""glugluieie""),if(and(QuotesCheckJudge = ""segundo"", QuotesCheckChallengeRecommend"&amp;"ation2 &lt;&gt; """"), filter('Quotes-Check'!I406:J406, 'Quotes-Check'!I406:J406&lt;&gt;""glugluieie""),""""))"),"challenge")</f>
        <v>challenge</v>
      </c>
      <c r="F406" s="22" t="str">
        <f>IFERROR(__xludf.DUMMYFUNCTION("""COMPUTED_VALUE"""),"Um, but then the preparation for the class itself was a concept class. That's, I've done that. Um, and then adjust, but it's no more difficult than any other class. It depends what you know, and what you do as a job. Right? And that's part of my job to do"&amp;" it. So I feel comfortable")</f>
        <v>Um, but then the preparation for the class itself was a concept class. That's, I've done that. Um, and then adjust, but it's no more difficult than any other class. It depends what you know, and what you do as a job. Right? And that's part of my job to do it. So I feel comfortable</v>
      </c>
      <c r="G406" s="22" t="str">
        <f>if(QuotesCheckJudgeAbstract&lt;&gt;"",QuotesCheckJudgeAbstract,if(or(QuotesCheckJudge="",and(QuotesCheckJudge = "primeiro", QuotesCheckChallengeRecommendation1 &lt;&gt; "")), QuotesCheckAbstract1,if(and(QuotesCheckJudge = "segundo", QuotesCheckChallengeRecommendation2 &lt;&gt; ""), QuotesCheckAbstract2,"")))</f>
        <v>Teach DevOps requires much knowledge from the professor who could not be familiar with it.</v>
      </c>
    </row>
    <row r="407">
      <c r="A407" s="22">
        <f>IFERROR(__xludf.DUMMYFUNCTION("if(or(QuotesCheckJudge="""",and(QuotesCheckJudge = ""primeiro"", QuotesCheckChallengeRecommendation1 &lt;&gt; """"),and(QuotesCheckJudge = ""segundo"", QuotesCheckChallengeRecommendation2 &lt;&gt; """")), filter('Quotes-Check'!A407:D407, 'Quotes-Check'!A407:D407&lt;&gt;""g"&amp;"lugluieie""),"""")"),10.0)</f>
        <v>10</v>
      </c>
      <c r="B407" s="22">
        <f>IFERROR(__xludf.DUMMYFUNCTION("""COMPUTED_VALUE"""),20.0)</f>
        <v>20</v>
      </c>
      <c r="C407" s="2" t="str">
        <f>IFERROR(__xludf.DUMMYFUNCTION("""COMPUTED_VALUE"""),"R1 / R3")</f>
        <v>R1 / R3</v>
      </c>
      <c r="D407" s="22" t="str">
        <f>IFERROR(__xludf.DUMMYFUNCTION("""COMPUTED_VALUE"""),"Pedagogy")</f>
        <v>Pedagogy</v>
      </c>
      <c r="E407" s="46" t="str">
        <f>IFERROR(__xludf.DUMMYFUNCTION("if(or(QuotesCheckJudge="""",and(QuotesCheckJudge = ""primeiro"", QuotesCheckChallengeRecommendation1 &lt;&gt; """")), filter('Quotes-Check'!E407:F407, 'Quotes-Check'!E407:F407&lt;&gt;""glugluieie""),if(and(QuotesCheckJudge = ""segundo"", QuotesCheckChallengeRecommend"&amp;"ation2 &lt;&gt; """"), filter('Quotes-Check'!I407:J407, 'Quotes-Check'!I407:J407&lt;&gt;""glugluieie""),""""))"),"recommendation")</f>
        <v>recommendation</v>
      </c>
      <c r="F407" s="22" t="str">
        <f>IFERROR(__xludf.DUMMYFUNCTION("""COMPUTED_VALUE"""),"I've tried to be very incremental. Um, first teach the value of tests, then write the script to build everything on your desk. You don't need any you're alone. ... Then break it down into several components and build them one by one, then put an Artifacto"&amp;"ry in the middle. So you have the dependency. ... So you can imagine that each people in the group is like a different team in the world. ")</f>
        <v>I've tried to be very incremental. Um, first teach the value of tests, then write the script to build everything on your desk. You don't need any you're alone. ... Then break it down into several components and build them one by one, then put an Artifactory in the middle. So you have the dependency. ... So you can imagine that each people in the group is like a different team in the world. </v>
      </c>
      <c r="G407" s="22" t="str">
        <f>if(QuotesCheckJudgeAbstract&lt;&gt;"",QuotesCheckJudgeAbstract,if(or(QuotesCheckJudge="",and(QuotesCheckJudge = "primeiro", QuotesCheckChallengeRecommendation1 &lt;&gt; "")), QuotesCheckAbstract1,if(and(QuotesCheckJudge = "segundo", QuotesCheckChallengeRecommendation2 &lt;&gt; ""), QuotesCheckAbstract2,"")))</f>
        <v>Try to be very incremental. Everything on your desk first. Splits into several components. Build them one by one. Start working in group.</v>
      </c>
    </row>
    <row r="408">
      <c r="A408" s="22">
        <f>IFERROR(__xludf.DUMMYFUNCTION("if(or(QuotesCheckJudge="""",and(QuotesCheckJudge = ""primeiro"", QuotesCheckChallengeRecommendation1 &lt;&gt; """"),and(QuotesCheckJudge = ""segundo"", QuotesCheckChallengeRecommendation2 &lt;&gt; """")), filter('Quotes-Check'!A408:D408, 'Quotes-Check'!A408:D408&lt;&gt;""g"&amp;"lugluieie""),"""")"),10.0)</f>
        <v>10</v>
      </c>
      <c r="B408" s="22">
        <f>IFERROR(__xludf.DUMMYFUNCTION("""COMPUTED_VALUE"""),21.0)</f>
        <v>21</v>
      </c>
      <c r="C408" s="2" t="str">
        <f>IFERROR(__xludf.DUMMYFUNCTION("""COMPUTED_VALUE"""),"R1 / R2")</f>
        <v>R1 / R2</v>
      </c>
      <c r="D408" s="22" t="str">
        <f>IFERROR(__xludf.DUMMYFUNCTION("""COMPUTED_VALUE"""),"Pedagogy")</f>
        <v>Pedagogy</v>
      </c>
      <c r="E408" s="46" t="str">
        <f>IFERROR(__xludf.DUMMYFUNCTION("if(or(QuotesCheckJudge="""",and(QuotesCheckJudge = ""primeiro"", QuotesCheckChallengeRecommendation1 &lt;&gt; """")), filter('Quotes-Check'!E408:F408, 'Quotes-Check'!E408:F408&lt;&gt;""glugluieie""),if(and(QuotesCheckJudge = ""segundo"", QuotesCheckChallengeRecommend"&amp;"ation2 &lt;&gt; """"), filter('Quotes-Check'!I408:J408, 'Quotes-Check'!I408:J408&lt;&gt;""glugluieie""),""""))"),"recommendation")</f>
        <v>recommendation</v>
      </c>
      <c r="F408" s="22" t="str">
        <f>IFERROR(__xludf.DUMMYFUNCTION("""COMPUTED_VALUE"""),"Go gradually. Um, so tha t,that was part of my strategy. The other thing is I've built a few, what I called a, um, whiteboard free session. So I go something like every week we have half a day, one hour of, uh, formal teaching. And then two hours exercise"&amp;" and we do that for like three weeks in a row. [...] So I do like three classrooms, one free session inspired by what they fail on and I continue.
")</f>
        <v>Go gradually. Um, so tha t,that was part of my strategy. The other thing is I've built a few, what I called a, um, whiteboard free session. So I go something like every week we have half a day, one hour of, uh, formal teaching. And then two hours exercise and we do that for like three weeks in a row. [...] So I do like three classrooms, one free session inspired by what they fail on and I continue.
</v>
      </c>
      <c r="G408" s="22" t="str">
        <f>if(QuotesCheckJudgeAbstract&lt;&gt;"",QuotesCheckJudgeAbstract,if(or(QuotesCheckJudge="",and(QuotesCheckJudge = "primeiro", QuotesCheckChallengeRecommendation1 &lt;&gt; "")), QuotesCheckAbstract1,if(and(QuotesCheckJudge = "segundo", QuotesCheckChallengeRecommendation2 &lt;&gt; ""), QuotesCheckAbstract2,"")))</f>
        <v>Build whiteboard free sessions inspired by what students have failed and the two hours exercise</v>
      </c>
    </row>
    <row r="409">
      <c r="A409" s="22">
        <f>IFERROR(__xludf.DUMMYFUNCTION("if(or(QuotesCheckJudge="""",and(QuotesCheckJudge = ""primeiro"", QuotesCheckChallengeRecommendation1 &lt;&gt; """"),and(QuotesCheckJudge = ""segundo"", QuotesCheckChallengeRecommendation2 &lt;&gt; """")), filter('Quotes-Check'!A409:D409, 'Quotes-Check'!A409:D409&lt;&gt;""g"&amp;"lugluieie""),"""")"),10.0)</f>
        <v>10</v>
      </c>
      <c r="B409" s="22">
        <f>IFERROR(__xludf.DUMMYFUNCTION("""COMPUTED_VALUE"""),22.0)</f>
        <v>22</v>
      </c>
      <c r="C409" s="2" t="str">
        <f>IFERROR(__xludf.DUMMYFUNCTION("""COMPUTED_VALUE"""),"R2 / R3")</f>
        <v>R2 / R3</v>
      </c>
      <c r="D409" s="22" t="str">
        <f>IFERROR(__xludf.DUMMYFUNCTION("""COMPUTED_VALUE"""),"Assessment")</f>
        <v>Assessment</v>
      </c>
      <c r="E409" s="46" t="str">
        <f>IFERROR(__xludf.DUMMYFUNCTION("if(or(QuotesCheckJudge="""",and(QuotesCheckJudge = ""primeiro"", QuotesCheckChallengeRecommendation1 &lt;&gt; """")), filter('Quotes-Check'!E409:F409, 'Quotes-Check'!E409:F409&lt;&gt;""glugluieie""),if(and(QuotesCheckJudge = ""segundo"", QuotesCheckChallengeRecommend"&amp;"ation2 &lt;&gt; """"), filter('Quotes-Check'!I409:J409, 'Quotes-Check'!I409:J409&lt;&gt;""glugluieie""),""""))"),"recommendation")</f>
        <v>recommendation</v>
      </c>
      <c r="F409" s="22" t="str">
        <f>IFERROR(__xludf.DUMMYFUNCTION("""COMPUTED_VALUE"""),"we've done live presentation, where they have something that 20 minutes to describe the architecture, to describe their build strategy, that test strategy and demonstrate it on the screen. Um, and that is evaluated by a jury of one representative from the"&amp;" software architecture class and one representative from the DevOps class.")</f>
        <v>we've done live presentation, where they have something that 20 minutes to describe the architecture, to describe their build strategy, that test strategy and demonstrate it on the screen. Um, and that is evaluated by a jury of one representative from the software architecture class and one representative from the DevOps class.</v>
      </c>
      <c r="G409" s="22" t="str">
        <f>if(QuotesCheckJudgeAbstract&lt;&gt;"",QuotesCheckJudgeAbstract,if(or(QuotesCheckJudge="",and(QuotesCheckJudge = "primeiro", QuotesCheckChallengeRecommendation1 &lt;&gt; "")), QuotesCheckAbstract1,if(and(QuotesCheckJudge = "segundo", QuotesCheckChallengeRecommendation2 &lt;&gt; ""), QuotesCheckAbstract2,"")))</f>
        <v>The students have something that 20 minutes to describe the architecture of the project, to describe their build strategy, that test strategy and demonstrate it on the screen. That is evaluated by a jury of one representative from the software architecture class and one representative from the DevOps class.</v>
      </c>
    </row>
    <row r="410">
      <c r="A410" s="22">
        <f>IFERROR(__xludf.DUMMYFUNCTION("if(or(QuotesCheckJudge="""",and(QuotesCheckJudge = ""primeiro"", QuotesCheckChallengeRecommendation1 &lt;&gt; """"),and(QuotesCheckJudge = ""segundo"", QuotesCheckChallengeRecommendation2 &lt;&gt; """")), filter('Quotes-Check'!A410:D410, 'Quotes-Check'!A410:D410&lt;&gt;""g"&amp;"lugluieie""),"""")"),10.0)</f>
        <v>10</v>
      </c>
      <c r="B410" s="22">
        <f>IFERROR(__xludf.DUMMYFUNCTION("""COMPUTED_VALUE"""),23.0)</f>
        <v>23</v>
      </c>
      <c r="C410" s="2" t="str">
        <f>IFERROR(__xludf.DUMMYFUNCTION("""COMPUTED_VALUE"""),"R1 / R3")</f>
        <v>R1 / R3</v>
      </c>
      <c r="D410" s="22" t="str">
        <f>IFERROR(__xludf.DUMMYFUNCTION("""COMPUTED_VALUE"""),"Assessment")</f>
        <v>Assessment</v>
      </c>
      <c r="E410" s="46" t="str">
        <f>IFERROR(__xludf.DUMMYFUNCTION("if(or(QuotesCheckJudge="""",and(QuotesCheckJudge = ""primeiro"", QuotesCheckChallengeRecommendation1 &lt;&gt; """")), filter('Quotes-Check'!E410:F410, 'Quotes-Check'!E410:F410&lt;&gt;""glugluieie""),if(and(QuotesCheckJudge = ""segundo"", QuotesCheckChallengeRecommend"&amp;"ation2 &lt;&gt; """"), filter('Quotes-Check'!I410:J410, 'Quotes-Check'!I410:J410&lt;&gt;""glugluieie""),""""))"),"recommendation")</f>
        <v>recommendation</v>
      </c>
      <c r="F410" s="22" t="str">
        <f>IFERROR(__xludf.DUMMYFUNCTION("""COMPUTED_VALUE""")," we also do two evaluations, one in the middle and one at the end. So the one in the middle, we call it MVP evaluation. And we tell them, at this point, you should have reached an MVP, which is basically a walking skeleton for your code. We don't care if "&amp;"when you call the API, the only code of the API is return true, or which are 12, but we care that you have the components in place. You can build them independently and they can talk to each other. Right? So at this, we validate that your componentization"&amp;" and your architecture is good even before you start building algorithms and the functional code. Um, so we do that and that's, again, that's to catch early, um, architecture mistakes.
")</f>
        <v> we also do two evaluations, one in the middle and one at the end. So the one in the middle, we call it MVP evaluation. And we tell them, at this point, you should have reached an MVP, which is basically a walking skeleton for your code. We don't care if when you call the API, the only code of the API is return true, or which are 12, but we care that you have the components in place. You can build them independently and they can talk to each other. Right? So at this, we validate that your componentization and your architecture is good even before you start building algorithms and the functional code. Um, so we do that and that's, again, that's to catch early, um, architecture mistakes.
</v>
      </c>
      <c r="G410" s="22" t="str">
        <f>if(QuotesCheckJudgeAbstract&lt;&gt;"",QuotesCheckJudgeAbstract,if(or(QuotesCheckJudge="",and(QuotesCheckJudge = "primeiro", QuotesCheckChallengeRecommendation1 &lt;&gt; "")), QuotesCheckAbstract1,if(and(QuotesCheckJudge = "segundo", QuotesCheckChallengeRecommendation2 &lt;&gt; ""), QuotesCheckAbstract2,"")))</f>
        <v>Use MVP (Minimum viable product) evaluation to validate components of the project. Make an evaluation in the middle and the final course.</v>
      </c>
    </row>
    <row r="411">
      <c r="A411" s="22">
        <f>IFERROR(__xludf.DUMMYFUNCTION("if(or(QuotesCheckJudge="""",and(QuotesCheckJudge = ""primeiro"", QuotesCheckChallengeRecommendation1 &lt;&gt; """"),and(QuotesCheckJudge = ""segundo"", QuotesCheckChallengeRecommendation2 &lt;&gt; """")), filter('Quotes-Check'!A411:D411, 'Quotes-Check'!A411:D411&lt;&gt;""g"&amp;"lugluieie""),"""")"),10.0)</f>
        <v>10</v>
      </c>
      <c r="B411" s="22">
        <f>IFERROR(__xludf.DUMMYFUNCTION("""COMPUTED_VALUE"""),24.0)</f>
        <v>24</v>
      </c>
      <c r="C411" s="2" t="str">
        <f>IFERROR(__xludf.DUMMYFUNCTION("""COMPUTED_VALUE"""),"R1 / R3")</f>
        <v>R1 / R3</v>
      </c>
      <c r="D411" s="22" t="str">
        <f>IFERROR(__xludf.DUMMYFUNCTION("""COMPUTED_VALUE"""),"Assessment")</f>
        <v>Assessment</v>
      </c>
      <c r="E411" s="46" t="str">
        <f>IFERROR(__xludf.DUMMYFUNCTION("if(or(QuotesCheckJudge="""",and(QuotesCheckJudge = ""primeiro"", QuotesCheckChallengeRecommendation1 &lt;&gt; """")), filter('Quotes-Check'!E411:F411, 'Quotes-Check'!E411:F411&lt;&gt;""glugluieie""),if(and(QuotesCheckJudge = ""segundo"", QuotesCheckChallengeRecommend"&amp;"ation2 &lt;&gt; """"), filter('Quotes-Check'!I411:J411, 'Quotes-Check'!I411:J411&lt;&gt;""glugluieie""),""""))"),"recommendation")</f>
        <v>recommendation</v>
      </c>
      <c r="F411" s="22" t="str">
        <f>IFERROR(__xludf.DUMMYFUNCTION("""COMPUTED_VALUE"""),"we also have a lot of evaluation during the exercise. When group after group, where we, we give them flags if week green, yellow, or red, based on where we think they are, uh, regarding the objectives.")</f>
        <v>we also have a lot of evaluation during the exercise. When group after group, where we, we give them flags if week green, yellow, or red, based on where we think they are, uh, regarding the objectives.</v>
      </c>
      <c r="G411" s="22" t="str">
        <f>if(QuotesCheckJudgeAbstract&lt;&gt;"",QuotesCheckJudgeAbstract,if(or(QuotesCheckJudge="",and(QuotesCheckJudge = "primeiro", QuotesCheckChallengeRecommendation1 &lt;&gt; "")), QuotesCheckAbstract1,if(and(QuotesCheckJudge = "segundo", QuotesCheckChallengeRecommendation2 &lt;&gt; ""), QuotesCheckAbstract2,"")))</f>
        <v>Do many evaluations of students project along with the discipline. Use green, yellow or red flags to evaluate the group.</v>
      </c>
    </row>
    <row r="412">
      <c r="A412" s="22">
        <f>IFERROR(__xludf.DUMMYFUNCTION("if(or(QuotesCheckJudge="""",and(QuotesCheckJudge = ""primeiro"", QuotesCheckChallengeRecommendation1 &lt;&gt; """"),and(QuotesCheckJudge = ""segundo"", QuotesCheckChallengeRecommendation2 &lt;&gt; """")), filter('Quotes-Check'!A412:D412, 'Quotes-Check'!A412:D412&lt;&gt;""g"&amp;"lugluieie""),"""")"),10.0)</f>
        <v>10</v>
      </c>
      <c r="B412" s="22">
        <f>IFERROR(__xludf.DUMMYFUNCTION("""COMPUTED_VALUE"""),24.0)</f>
        <v>24</v>
      </c>
      <c r="C412" s="2" t="str">
        <f>IFERROR(__xludf.DUMMYFUNCTION("""COMPUTED_VALUE"""),"R1 / R3")</f>
        <v>R1 / R3</v>
      </c>
      <c r="D412" s="22" t="str">
        <f>IFERROR(__xludf.DUMMYFUNCTION("""COMPUTED_VALUE"""),"Assessment")</f>
        <v>Assessment</v>
      </c>
      <c r="E412" s="46" t="str">
        <f>IFERROR(__xludf.DUMMYFUNCTION("if(or(QuotesCheckJudge="""",and(QuotesCheckJudge = ""primeiro"", QuotesCheckChallengeRecommendation1 &lt;&gt; """")), filter('Quotes-Check'!E412:F412, 'Quotes-Check'!E412:F412&lt;&gt;""glugluieie""),if(and(QuotesCheckJudge = ""segundo"", QuotesCheckChallengeRecommend"&amp;"ation2 &lt;&gt; """"), filter('Quotes-Check'!I412:J412, 'Quotes-Check'!I412:J412&lt;&gt;""glugluieie""),""""))"),"challenge")</f>
        <v>challenge</v>
      </c>
      <c r="F412" s="22" t="str">
        <f>IFERROR(__xludf.DUMMYFUNCTION("""COMPUTED_VALUE"""),"I check out the code of every group. And I look at the commits who has done what I look at. How has it been coded, easy to blatant copy paste of somebody else's code? Is it innovative? I run all the scripts. I ask them to provide me with scripts that are "&amp;"portable, that will run on my computer. Um, and there has to be a bill script or run script, uh, scenario, script, et cetera. And I run them on my computer. It takes four it's very long. Uh, but it's an effective way of checking what they've done.")</f>
        <v>I check out the code of every group. And I look at the commits who has done what I look at. How has it been coded, easy to blatant copy paste of somebody else's code? Is it innovative? I run all the scripts. I ask them to provide me with scripts that are portable, that will run on my computer. Um, and there has to be a bill script or run script, uh, scenario, script, et cetera. And I run them on my computer. It takes four it's very long. Uh, but it's an effective way of checking what they've done.</v>
      </c>
      <c r="G412" s="22" t="str">
        <f>if(QuotesCheckJudgeAbstract&lt;&gt;"",QuotesCheckJudgeAbstract,if(or(QuotesCheckJudge="",and(QuotesCheckJudge = "primeiro", QuotesCheckChallengeRecommendation1 &lt;&gt; "")), QuotesCheckAbstract1,if(and(QuotesCheckJudge = "segundo", QuotesCheckChallengeRecommendation2 &lt;&gt; ""), QuotesCheckAbstract2,"")))</f>
        <v>It is arduous to analyse the code and run scripts for each project.</v>
      </c>
    </row>
    <row r="413">
      <c r="A413" s="22">
        <f>IFERROR(__xludf.DUMMYFUNCTION("if(or(QuotesCheckJudge="""",and(QuotesCheckJudge = ""primeiro"", QuotesCheckChallengeRecommendation1 &lt;&gt; """"),and(QuotesCheckJudge = ""segundo"", QuotesCheckChallengeRecommendation2 &lt;&gt; """")), filter('Quotes-Check'!A413:D413, 'Quotes-Check'!A413:D413&lt;&gt;""g"&amp;"lugluieie""),"""")"),10.0)</f>
        <v>10</v>
      </c>
      <c r="B413" s="22">
        <f>IFERROR(__xludf.DUMMYFUNCTION("""COMPUTED_VALUE"""),25.0)</f>
        <v>25</v>
      </c>
      <c r="C413" s="2" t="str">
        <f>IFERROR(__xludf.DUMMYFUNCTION("""COMPUTED_VALUE"""),"R1 / R3")</f>
        <v>R1 / R3</v>
      </c>
      <c r="D413" s="22" t="str">
        <f>IFERROR(__xludf.DUMMYFUNCTION("""COMPUTED_VALUE"""),"Curriculum")</f>
        <v>Curriculum</v>
      </c>
      <c r="E413" s="46" t="str">
        <f>IFERROR(__xludf.DUMMYFUNCTION("if(or(QuotesCheckJudge="""",and(QuotesCheckJudge = ""primeiro"", QuotesCheckChallengeRecommendation1 &lt;&gt; """")), filter('Quotes-Check'!E413:F413, 'Quotes-Check'!E413:F413&lt;&gt;""glugluieie""),if(and(QuotesCheckJudge = ""segundo"", QuotesCheckChallengeRecommend"&amp;"ation2 &lt;&gt; """"), filter('Quotes-Check'!I413:J413, 'Quotes-Check'!I413:J413&lt;&gt;""glugluieie""),""""))"),"challenge")</f>
        <v>challenge</v>
      </c>
      <c r="F413" s="22" t="str">
        <f>IFERROR(__xludf.DUMMYFUNCTION("""COMPUTED_VALUE"""),"How do you work in sprints? ")</f>
        <v>How do you work in sprints? </v>
      </c>
      <c r="G413" s="22" t="str">
        <f>if(QuotesCheckJudgeAbstract&lt;&gt;"",QuotesCheckJudgeAbstract,if(or(QuotesCheckJudge="",and(QuotesCheckJudge = "primeiro", QuotesCheckChallengeRecommendation1 &lt;&gt; "")), QuotesCheckAbstract1,if(and(QuotesCheckJudge = "segundo", QuotesCheckChallengeRecommendation2 &lt;&gt; ""), QuotesCheckAbstract2,"")))</f>
        <v>It is difficult how to organize each sprint.</v>
      </c>
    </row>
    <row r="414">
      <c r="A414" s="22">
        <f>IFERROR(__xludf.DUMMYFUNCTION("if(or(QuotesCheckJudge="""",and(QuotesCheckJudge = ""primeiro"", QuotesCheckChallengeRecommendation1 &lt;&gt; """"),and(QuotesCheckJudge = ""segundo"", QuotesCheckChallengeRecommendation2 &lt;&gt; """")), filter('Quotes-Check'!A414:D414, 'Quotes-Check'!A414:D414&lt;&gt;""g"&amp;"lugluieie""),"""")"),10.0)</f>
        <v>10</v>
      </c>
      <c r="B414" s="22">
        <f>IFERROR(__xludf.DUMMYFUNCTION("""COMPUTED_VALUE"""),25.0)</f>
        <v>25</v>
      </c>
      <c r="C414" s="2" t="str">
        <f>IFERROR(__xludf.DUMMYFUNCTION("""COMPUTED_VALUE"""),"R1 / R3")</f>
        <v>R1 / R3</v>
      </c>
      <c r="D414" s="22" t="str">
        <f>IFERROR(__xludf.DUMMYFUNCTION("""COMPUTED_VALUE"""),"Curriculum")</f>
        <v>Curriculum</v>
      </c>
      <c r="E414" s="46" t="str">
        <f>IFERROR(__xludf.DUMMYFUNCTION("if(or(QuotesCheckJudge="""",and(QuotesCheckJudge = ""primeiro"", QuotesCheckChallengeRecommendation1 &lt;&gt; """")), filter('Quotes-Check'!E414:F414, 'Quotes-Check'!E414:F414&lt;&gt;""glugluieie""),if(and(QuotesCheckJudge = ""segundo"", QuotesCheckChallengeRecommend"&amp;"ation2 &lt;&gt; """"), filter('Quotes-Check'!I414:J414, 'Quotes-Check'!I414:J414&lt;&gt;""glugluieie""),""""))"),"recommendation")</f>
        <v>recommendation</v>
      </c>
      <c r="F414" s="22" t="str">
        <f>IFERROR(__xludf.DUMMYFUNCTION("""COMPUTED_VALUE"""),"we help them manage stories, backlog. Uh, so it's more on the front of, we give you requirements.")</f>
        <v>we help them manage stories, backlog. Uh, so it's more on the front of, we give you requirements.</v>
      </c>
      <c r="G414" s="22" t="str">
        <f>if(QuotesCheckJudgeAbstract&lt;&gt;"",QuotesCheckJudgeAbstract,if(or(QuotesCheckJudge="",and(QuotesCheckJudge = "primeiro", QuotesCheckChallengeRecommendation1 &lt;&gt; "")), QuotesCheckAbstract1,if(and(QuotesCheckJudge = "segundo", QuotesCheckChallengeRecommendation2 &lt;&gt; ""), QuotesCheckAbstract2,"")))</f>
        <v>Help students manage stories and backlog.</v>
      </c>
    </row>
    <row r="415">
      <c r="A415" s="22">
        <f>IFERROR(__xludf.DUMMYFUNCTION("if(or(QuotesCheckJudge="""",and(QuotesCheckJudge = ""primeiro"", QuotesCheckChallengeRecommendation1 &lt;&gt; """"),and(QuotesCheckJudge = ""segundo"", QuotesCheckChallengeRecommendation2 &lt;&gt; """")), filter('Quotes-Check'!A415:D415, 'Quotes-Check'!A415:D415&lt;&gt;""g"&amp;"lugluieie""),"""")"),10.0)</f>
        <v>10</v>
      </c>
      <c r="B415" s="22">
        <f>IFERROR(__xludf.DUMMYFUNCTION("""COMPUTED_VALUE"""),25.0)</f>
        <v>25</v>
      </c>
      <c r="C415" s="2" t="str">
        <f>IFERROR(__xludf.DUMMYFUNCTION("""COMPUTED_VALUE"""),"R1 / R3")</f>
        <v>R1 / R3</v>
      </c>
      <c r="D415" s="22" t="str">
        <f>IFERROR(__xludf.DUMMYFUNCTION("""COMPUTED_VALUE"""),"Curriculum")</f>
        <v>Curriculum</v>
      </c>
      <c r="E415" s="46" t="str">
        <f>IFERROR(__xludf.DUMMYFUNCTION("if(or(QuotesCheckJudge="""",and(QuotesCheckJudge = ""primeiro"", QuotesCheckChallengeRecommendation1 &lt;&gt; """")), filter('Quotes-Check'!E415:F415, 'Quotes-Check'!E415:F415&lt;&gt;""glugluieie""),if(and(QuotesCheckJudge = ""segundo"", QuotesCheckChallengeRecommend"&amp;"ation2 &lt;&gt; """"), filter('Quotes-Check'!I415:J415, 'Quotes-Check'!I415:J415&lt;&gt;""glugluieie""),""""))"),"recommendation")</f>
        <v>recommendation</v>
      </c>
      <c r="F415" s="22" t="str">
        <f>IFERROR(__xludf.DUMMYFUNCTION("""COMPUTED_VALUE"""),"we've introduced recently is a notion of digital branches and feature branches, for example, uh, linked to stories, but we try to just give them small individual tools. ")</f>
        <v>we've introduced recently is a notion of digital branches and feature branches, for example, uh, linked to stories, but we try to just give them small individual tools. </v>
      </c>
      <c r="G415" s="22" t="str">
        <f>if(QuotesCheckJudgeAbstract&lt;&gt;"",QuotesCheckJudgeAbstract,if(or(QuotesCheckJudge="",and(QuotesCheckJudge = "primeiro", QuotesCheckChallengeRecommendation1 &lt;&gt; "")), QuotesCheckAbstract1,if(and(QuotesCheckJudge = "segundo", QuotesCheckChallengeRecommendation2 &lt;&gt; ""), QuotesCheckAbstract2,"")))</f>
        <v>Introduce the notion of digital branches and feature branches using small individual tools.</v>
      </c>
    </row>
    <row r="416">
      <c r="A416" s="22">
        <f>IFERROR(__xludf.DUMMYFUNCTION("if(or(QuotesCheckJudge="""",and(QuotesCheckJudge = ""primeiro"", QuotesCheckChallengeRecommendation1 &lt;&gt; """"),and(QuotesCheckJudge = ""segundo"", QuotesCheckChallengeRecommendation2 &lt;&gt; """")), filter('Quotes-Check'!A416:D416, 'Quotes-Check'!A416:D416&lt;&gt;""g"&amp;"lugluieie""),"""")"),10.0)</f>
        <v>10</v>
      </c>
      <c r="B416" s="22">
        <f>IFERROR(__xludf.DUMMYFUNCTION("""COMPUTED_VALUE"""),26.0)</f>
        <v>26</v>
      </c>
      <c r="C416" s="2" t="str">
        <f>IFERROR(__xludf.DUMMYFUNCTION("""COMPUTED_VALUE"""),"R1 / R2")</f>
        <v>R1 / R2</v>
      </c>
      <c r="D416" s="22" t="str">
        <f>IFERROR(__xludf.DUMMYFUNCTION("""COMPUTED_VALUE"""),"Curriculum")</f>
        <v>Curriculum</v>
      </c>
      <c r="E416" s="46" t="str">
        <f>IFERROR(__xludf.DUMMYFUNCTION("if(or(QuotesCheckJudge="""",and(QuotesCheckJudge = ""primeiro"", QuotesCheckChallengeRecommendation1 &lt;&gt; """")), filter('Quotes-Check'!E416:F416, 'Quotes-Check'!E416:F416&lt;&gt;""glugluieie""),if(and(QuotesCheckJudge = ""segundo"", QuotesCheckChallengeRecommend"&amp;"ation2 &lt;&gt; """"), filter('Quotes-Check'!I416:J416, 'Quotes-Check'!I416:J416&lt;&gt;""glugluieie""),""""))"),"recommendation")</f>
        <v>recommendation</v>
      </c>
      <c r="F416" s="22" t="str">
        <f>IFERROR(__xludf.DUMMYFUNCTION("""COMPUTED_VALUE"""),"It's an option that we give them the year before too preparing them.")</f>
        <v>It's an option that we give them the year before too preparing them.</v>
      </c>
      <c r="G416" s="22" t="str">
        <f>if(QuotesCheckJudgeAbstract&lt;&gt;"",QuotesCheckJudgeAbstract,if(or(QuotesCheckJudge="",and(QuotesCheckJudge = "primeiro", QuotesCheckChallengeRecommendation1 &lt;&gt; "")), QuotesCheckAbstract1,if(and(QuotesCheckJudge = "segundo", QuotesCheckChallengeRecommendation2 &lt;&gt; ""), QuotesCheckAbstract2,"")))</f>
        <v>Prepare students with previous courses.</v>
      </c>
    </row>
    <row r="417">
      <c r="A417" s="22">
        <f>IFERROR(__xludf.DUMMYFUNCTION("if(or(QuotesCheckJudge="""",and(QuotesCheckJudge = ""primeiro"", QuotesCheckChallengeRecommendation1 &lt;&gt; """"),and(QuotesCheckJudge = ""segundo"", QuotesCheckChallengeRecommendation2 &lt;&gt; """")), filter('Quotes-Check'!A417:D417, 'Quotes-Check'!A417:D417&lt;&gt;""g"&amp;"lugluieie""),"""")"),10.0)</f>
        <v>10</v>
      </c>
      <c r="B417" s="22">
        <f>IFERROR(__xludf.DUMMYFUNCTION("""COMPUTED_VALUE"""),27.0)</f>
        <v>27</v>
      </c>
      <c r="C417" s="2" t="str">
        <f>IFERROR(__xludf.DUMMYFUNCTION("""COMPUTED_VALUE"""),"R2 / R3")</f>
        <v>R2 / R3</v>
      </c>
      <c r="D417" s="22" t="str">
        <f>IFERROR(__xludf.DUMMYFUNCTION("""COMPUTED_VALUE"""),"Curriculum")</f>
        <v>Curriculum</v>
      </c>
      <c r="E417" s="46" t="str">
        <f>IFERROR(__xludf.DUMMYFUNCTION("if(or(QuotesCheckJudge="""",and(QuotesCheckJudge = ""primeiro"", QuotesCheckChallengeRecommendation1 &lt;&gt; """")), filter('Quotes-Check'!E417:F417, 'Quotes-Check'!E417:F417&lt;&gt;""glugluieie""),if(and(QuotesCheckJudge = ""segundo"", QuotesCheckChallengeRecommend"&amp;"ation2 &lt;&gt; """"), filter('Quotes-Check'!I417:J417, 'Quotes-Check'!I417:J417&lt;&gt;""glugluieie""),""""))"),"challenge")</f>
        <v>challenge</v>
      </c>
      <c r="F417" s="22" t="str">
        <f>IFERROR(__xludf.DUMMYFUNCTION("""COMPUTED_VALUE"""),"Some of them do have a lot of programming and are fairly mature, but because when we recruit, they be coming from different schools
")</f>
        <v>Some of them do have a lot of programming and are fairly mature, but because when we recruit, they be coming from different schools
</v>
      </c>
      <c r="G417" s="22" t="str">
        <f>if(QuotesCheckJudgeAbstract&lt;&gt;"",QuotesCheckJudgeAbstract,if(or(QuotesCheckJudge="",and(QuotesCheckJudge = "primeiro", QuotesCheckChallengeRecommendation1 &lt;&gt; "")), QuotesCheckAbstract1,if(and(QuotesCheckJudge = "segundo", QuotesCheckChallengeRecommendation2 &lt;&gt; ""), QuotesCheckAbstract2,"")))</f>
        <v>Students have different backgrouds.</v>
      </c>
    </row>
    <row r="418">
      <c r="A418" s="22">
        <f>IFERROR(__xludf.DUMMYFUNCTION("if(or(QuotesCheckJudge="""",and(QuotesCheckJudge = ""primeiro"", QuotesCheckChallengeRecommendation1 &lt;&gt; """"),and(QuotesCheckJudge = ""segundo"", QuotesCheckChallengeRecommendation2 &lt;&gt; """")), filter('Quotes-Check'!A418:D418, 'Quotes-Check'!A418:D418&lt;&gt;""g"&amp;"lugluieie""),"""")"),10.0)</f>
        <v>10</v>
      </c>
      <c r="B418" s="22">
        <f>IFERROR(__xludf.DUMMYFUNCTION("""COMPUTED_VALUE"""),27.0)</f>
        <v>27</v>
      </c>
      <c r="C418" s="2" t="str">
        <f>IFERROR(__xludf.DUMMYFUNCTION("""COMPUTED_VALUE"""),"R2 / R3")</f>
        <v>R2 / R3</v>
      </c>
      <c r="D418" s="22" t="str">
        <f>IFERROR(__xludf.DUMMYFUNCTION("""COMPUTED_VALUE"""),"Curriculum")</f>
        <v>Curriculum</v>
      </c>
      <c r="E418" s="46" t="str">
        <f>IFERROR(__xludf.DUMMYFUNCTION("if(or(QuotesCheckJudge="""",and(QuotesCheckJudge = ""primeiro"", QuotesCheckChallengeRecommendation1 &lt;&gt; """")), filter('Quotes-Check'!E418:F418, 'Quotes-Check'!E418:F418&lt;&gt;""glugluieie""),if(and(QuotesCheckJudge = ""segundo"", QuotesCheckChallengeRecommend"&amp;"ation2 &lt;&gt; """"), filter('Quotes-Check'!I418:J418, 'Quotes-Check'!I418:J418&lt;&gt;""glugluieie""),""""))"),"recommendation")</f>
        <v>recommendation</v>
      </c>
      <c r="F418" s="22" t="str">
        <f>IFERROR(__xludf.DUMMYFUNCTION("""COMPUTED_VALUE"""),"we cannot make assumption on what they know. So we're trying to work without any assumption.
")</f>
        <v>we cannot make assumption on what they know. So we're trying to work without any assumption.
</v>
      </c>
      <c r="G418" s="22" t="str">
        <f>if(QuotesCheckJudgeAbstract&lt;&gt;"",QuotesCheckJudgeAbstract,if(or(QuotesCheckJudge="",and(QuotesCheckJudge = "primeiro", QuotesCheckChallengeRecommendation1 &lt;&gt; "")), QuotesCheckAbstract1,if(and(QuotesCheckJudge = "segundo", QuotesCheckChallengeRecommendation2 &lt;&gt; ""), QuotesCheckAbstract2,"")))</f>
        <v>Do not make assumption about the learning level of the students when you have students with different levels.</v>
      </c>
    </row>
    <row r="419">
      <c r="A419" s="22">
        <f>IFERROR(__xludf.DUMMYFUNCTION("if(or(QuotesCheckJudge="""",and(QuotesCheckJudge = ""primeiro"", QuotesCheckChallengeRecommendation1 &lt;&gt; """"),and(QuotesCheckJudge = ""segundo"", QuotesCheckChallengeRecommendation2 &lt;&gt; """")), filter('Quotes-Check'!A419:D419, 'Quotes-Check'!A419:D419&lt;&gt;""g"&amp;"lugluieie""),"""")"),10.0)</f>
        <v>10</v>
      </c>
      <c r="B419" s="22">
        <f>IFERROR(__xludf.DUMMYFUNCTION("""COMPUTED_VALUE"""),28.0)</f>
        <v>28</v>
      </c>
      <c r="C419" s="2" t="str">
        <f>IFERROR(__xludf.DUMMYFUNCTION("""COMPUTED_VALUE"""),"R1 / R3")</f>
        <v>R1 / R3</v>
      </c>
      <c r="D419" s="22" t="str">
        <f>IFERROR(__xludf.DUMMYFUNCTION("""COMPUTED_VALUE"""),"Other Challenge and Recommendation")</f>
        <v>Other Challenge and Recommendation</v>
      </c>
      <c r="E419" s="46" t="str">
        <f>IFERROR(__xludf.DUMMYFUNCTION("if(or(QuotesCheckJudge="""",and(QuotesCheckJudge = ""primeiro"", QuotesCheckChallengeRecommendation1 &lt;&gt; """")), filter('Quotes-Check'!E419:F419, 'Quotes-Check'!E419:F419&lt;&gt;""glugluieie""),if(and(QuotesCheckJudge = ""segundo"", QuotesCheckChallengeRecommend"&amp;"ation2 &lt;&gt; """"), filter('Quotes-Check'!I419:J419, 'Quotes-Check'!I419:J419&lt;&gt;""glugluieie""),""""))"),"challenge")</f>
        <v>challenge</v>
      </c>
      <c r="F419" s="22" t="str">
        <f>IFERROR(__xludf.DUMMYFUNCTION("""COMPUTED_VALUE"""),"whatever they found it valuable usually, um, after the class is done at the end of the year, they don't always see the value. It's the kind of class where you want them to know this stuff, because once they will be in the industry, they'll need it every d"&amp;"ay. Um, but they don't know they need it every day. ")</f>
        <v>whatever they found it valuable usually, um, after the class is done at the end of the year, they don't always see the value. It's the kind of class where you want them to know this stuff, because once they will be in the industry, they'll need it every day. Um, but they don't know they need it every day. </v>
      </c>
      <c r="G419" s="22" t="str">
        <f>if(QuotesCheckJudgeAbstract&lt;&gt;"",QuotesCheckJudgeAbstract,if(or(QuotesCheckJudge="",and(QuotesCheckJudge = "primeiro", QuotesCheckChallengeRecommendation1 &lt;&gt; "")), QuotesCheckAbstract1,if(and(QuotesCheckJudge = "segundo", QuotesCheckChallengeRecommendation2 &lt;&gt; ""), QuotesCheckAbstract2,"")))</f>
        <v>Students do not know that they will need DevOps concepts at industry every day.</v>
      </c>
    </row>
    <row r="420">
      <c r="A420" s="22">
        <f>IFERROR(__xludf.DUMMYFUNCTION("if(or(QuotesCheckJudge="""",and(QuotesCheckJudge = ""primeiro"", QuotesCheckChallengeRecommendation1 &lt;&gt; """"),and(QuotesCheckJudge = ""segundo"", QuotesCheckChallengeRecommendation2 &lt;&gt; """")), filter('Quotes-Check'!A420:D420, 'Quotes-Check'!A420:D420&lt;&gt;""g"&amp;"lugluieie""),"""")"),10.0)</f>
        <v>10</v>
      </c>
      <c r="B420" s="22">
        <f>IFERROR(__xludf.DUMMYFUNCTION("""COMPUTED_VALUE"""),28.0)</f>
        <v>28</v>
      </c>
      <c r="C420" s="2" t="str">
        <f>IFERROR(__xludf.DUMMYFUNCTION("""COMPUTED_VALUE"""),"R1 / R3")</f>
        <v>R1 / R3</v>
      </c>
      <c r="D420" s="22" t="str">
        <f>IFERROR(__xludf.DUMMYFUNCTION("""COMPUTED_VALUE"""),"Other Challenge and Recommendation")</f>
        <v>Other Challenge and Recommendation</v>
      </c>
      <c r="E420" s="46" t="str">
        <f>IFERROR(__xludf.DUMMYFUNCTION("if(or(QuotesCheckJudge="""",and(QuotesCheckJudge = ""primeiro"", QuotesCheckChallengeRecommendation1 &lt;&gt; """")), filter('Quotes-Check'!E420:F420, 'Quotes-Check'!E420:F420&lt;&gt;""glugluieie""),if(and(QuotesCheckJudge = ""segundo"", QuotesCheckChallengeRecommend"&amp;"ation2 &lt;&gt; """"), filter('Quotes-Check'!I420:J420, 'Quotes-Check'!I420:J420&lt;&gt;""glugluieie""),""""))"),"recommendation")</f>
        <v>recommendation</v>
      </c>
      <c r="F420" s="22" t="str">
        <f>IFERROR(__xludf.DUMMYFUNCTION("""COMPUTED_VALUE"""),"Now I realize every day that I need testing and continuous, I mean, Jenkins is my friend.")</f>
        <v>Now I realize every day that I need testing and continuous, I mean, Jenkins is my friend.</v>
      </c>
      <c r="G420" s="22" t="str">
        <f>if(QuotesCheckJudgeAbstract&lt;&gt;"",QuotesCheckJudgeAbstract,if(or(QuotesCheckJudge="",and(QuotesCheckJudge = "primeiro", QuotesCheckChallengeRecommendation1 &lt;&gt; "")), QuotesCheckAbstract1,if(and(QuotesCheckJudge = "segundo", QuotesCheckChallengeRecommendation2 &lt;&gt; ""), QuotesCheckAbstract2,"")))</f>
        <v>Jenkins can be chosen as DevOps tool.</v>
      </c>
    </row>
    <row r="421">
      <c r="A421" s="22">
        <f>IFERROR(__xludf.DUMMYFUNCTION("if(or(QuotesCheckJudge="""",and(QuotesCheckJudge = ""primeiro"", QuotesCheckChallengeRecommendation1 &lt;&gt; """"),and(QuotesCheckJudge = ""segundo"", QuotesCheckChallengeRecommendation2 &lt;&gt; """")), filter('Quotes-Check'!A421:D421, 'Quotes-Check'!A421:D421&lt;&gt;""g"&amp;"lugluieie""),"""")"),10.0)</f>
        <v>10</v>
      </c>
      <c r="B421" s="22">
        <f>IFERROR(__xludf.DUMMYFUNCTION("""COMPUTED_VALUE"""),28.0)</f>
        <v>28</v>
      </c>
      <c r="C421" s="2" t="str">
        <f>IFERROR(__xludf.DUMMYFUNCTION("""COMPUTED_VALUE"""),"R1 / R3")</f>
        <v>R1 / R3</v>
      </c>
      <c r="D421" s="22" t="str">
        <f>IFERROR(__xludf.DUMMYFUNCTION("""COMPUTED_VALUE"""),"Other Challenge and Recommendation")</f>
        <v>Other Challenge and Recommendation</v>
      </c>
      <c r="E421" s="46" t="str">
        <f>IFERROR(__xludf.DUMMYFUNCTION("if(or(QuotesCheckJudge="""",and(QuotesCheckJudge = ""primeiro"", QuotesCheckChallengeRecommendation1 &lt;&gt; """")), filter('Quotes-Check'!E421:F421, 'Quotes-Check'!E421:F421&lt;&gt;""glugluieie""),if(and(QuotesCheckJudge = ""segundo"", QuotesCheckChallengeRecommend"&amp;"ation2 &lt;&gt; """"), filter('Quotes-Check'!I421:J421, 'Quotes-Check'!I421:J421&lt;&gt;""glugluieie""),""""))"),"recommendation")</f>
        <v>recommendation</v>
      </c>
      <c r="F421" s="22" t="str">
        <f>IFERROR(__xludf.DUMMYFUNCTION("""COMPUTED_VALUE"""),"we build Docker images. ")</f>
        <v>we build Docker images. </v>
      </c>
      <c r="G421" s="22" t="str">
        <f>if(QuotesCheckJudgeAbstract&lt;&gt;"",QuotesCheckJudgeAbstract,if(or(QuotesCheckJudge="",and(QuotesCheckJudge = "primeiro", QuotesCheckChallengeRecommendation1 &lt;&gt; "")), QuotesCheckAbstract1,if(and(QuotesCheckJudge = "segundo", QuotesCheckChallengeRecommendation2 &lt;&gt; ""), QuotesCheckAbstract2,"")))</f>
        <v>Docker can be chosen as DevOps tool.</v>
      </c>
    </row>
    <row r="422">
      <c r="A422" s="22">
        <f>IFERROR(__xludf.DUMMYFUNCTION("if(or(QuotesCheckJudge="""",and(QuotesCheckJudge = ""primeiro"", QuotesCheckChallengeRecommendation1 &lt;&gt; """"),and(QuotesCheckJudge = ""segundo"", QuotesCheckChallengeRecommendation2 &lt;&gt; """")), filter('Quotes-Check'!A422:D422, 'Quotes-Check'!A422:D422&lt;&gt;""g"&amp;"lugluieie""),"""")"),10.0)</f>
        <v>10</v>
      </c>
      <c r="B422" s="22">
        <f>IFERROR(__xludf.DUMMYFUNCTION("""COMPUTED_VALUE"""),28.0)</f>
        <v>28</v>
      </c>
      <c r="C422" s="2" t="str">
        <f>IFERROR(__xludf.DUMMYFUNCTION("""COMPUTED_VALUE"""),"R1 / R3")</f>
        <v>R1 / R3</v>
      </c>
      <c r="D422" s="22" t="str">
        <f>IFERROR(__xludf.DUMMYFUNCTION("""COMPUTED_VALUE"""),"Other Challenge and Recommendation")</f>
        <v>Other Challenge and Recommendation</v>
      </c>
      <c r="E422" s="46" t="str">
        <f>IFERROR(__xludf.DUMMYFUNCTION("if(or(QuotesCheckJudge="""",and(QuotesCheckJudge = ""primeiro"", QuotesCheckChallengeRecommendation1 &lt;&gt; """")), filter('Quotes-Check'!E422:F422, 'Quotes-Check'!E422:F422&lt;&gt;""glugluieie""),if(and(QuotesCheckJudge = ""segundo"", QuotesCheckChallengeRecommend"&amp;"ation2 &lt;&gt; """"), filter('Quotes-Check'!I422:J422, 'Quotes-Check'!I422:J422&lt;&gt;""glugluieie""),""""))"),"recommendation")</f>
        <v>recommendation</v>
      </c>
      <c r="F422" s="22" t="str">
        <f>IFERROR(__xludf.DUMMYFUNCTION("""COMPUTED_VALUE"""),"We show them Kubernetes.")</f>
        <v>We show them Kubernetes.</v>
      </c>
      <c r="G422" s="22" t="str">
        <f>if(QuotesCheckJudgeAbstract&lt;&gt;"",QuotesCheckJudgeAbstract,if(or(QuotesCheckJudge="",and(QuotesCheckJudge = "primeiro", QuotesCheckChallengeRecommendation1 &lt;&gt; "")), QuotesCheckAbstract1,if(and(QuotesCheckJudge = "segundo", QuotesCheckChallengeRecommendation2 &lt;&gt; ""), QuotesCheckAbstract2,"")))</f>
        <v>Kubernetes can be chosen as DevOps tool.</v>
      </c>
    </row>
    <row r="423">
      <c r="A423" s="22">
        <f>IFERROR(__xludf.DUMMYFUNCTION("if(or(QuotesCheckJudge="""",and(QuotesCheckJudge = ""primeiro"", QuotesCheckChallengeRecommendation1 &lt;&gt; """"),and(QuotesCheckJudge = ""segundo"", QuotesCheckChallengeRecommendation2 &lt;&gt; """")), filter('Quotes-Check'!A423:D423, 'Quotes-Check'!A423:D423&lt;&gt;""g"&amp;"lugluieie""),"""")"),10.0)</f>
        <v>10</v>
      </c>
      <c r="B423" s="22">
        <f>IFERROR(__xludf.DUMMYFUNCTION("""COMPUTED_VALUE"""),28.0)</f>
        <v>28</v>
      </c>
      <c r="C423" s="2" t="str">
        <f>IFERROR(__xludf.DUMMYFUNCTION("""COMPUTED_VALUE"""),"R1 / R3")</f>
        <v>R1 / R3</v>
      </c>
      <c r="D423" s="22" t="str">
        <f>IFERROR(__xludf.DUMMYFUNCTION("""COMPUTED_VALUE"""),"Other Challenge and Recommendation")</f>
        <v>Other Challenge and Recommendation</v>
      </c>
      <c r="E423" s="46" t="str">
        <f>IFERROR(__xludf.DUMMYFUNCTION("if(or(QuotesCheckJudge="""",and(QuotesCheckJudge = ""primeiro"", QuotesCheckChallengeRecommendation1 &lt;&gt; """")), filter('Quotes-Check'!E423:F423, 'Quotes-Check'!E423:F423&lt;&gt;""glugluieie""),if(and(QuotesCheckJudge = ""segundo"", QuotesCheckChallengeRecommend"&amp;"ation2 &lt;&gt; """"), filter('Quotes-Check'!I423:J423, 'Quotes-Check'!I423:J423&lt;&gt;""glugluieie""),""""))"),"challenge")</f>
        <v>challenge</v>
      </c>
      <c r="F423" s="22" t="str">
        <f>IFERROR(__xludf.DUMMYFUNCTION("""COMPUTED_VALUE"""),"We show them Kubernetes, um, but they don't really have time to practice on Kubernetes")</f>
        <v>We show them Kubernetes, um, but they don't really have time to practice on Kubernetes</v>
      </c>
      <c r="G423" s="22" t="str">
        <f>if(QuotesCheckJudgeAbstract&lt;&gt;"",QuotesCheckJudgeAbstract,if(or(QuotesCheckJudge="",and(QuotesCheckJudge = "primeiro", QuotesCheckChallengeRecommendation1 &lt;&gt; "")), QuotesCheckAbstract1,if(and(QuotesCheckJudge = "segundo", QuotesCheckChallengeRecommendation2 &lt;&gt; ""), QuotesCheckAbstract2,"")))</f>
        <v>They don't have time to practice on Kubernetes because it is lot of work.</v>
      </c>
    </row>
    <row r="424">
      <c r="A424" s="22">
        <f>IFERROR(__xludf.DUMMYFUNCTION("if(or(QuotesCheckJudge="""",and(QuotesCheckJudge = ""primeiro"", QuotesCheckChallengeRecommendation1 &lt;&gt; """"),and(QuotesCheckJudge = ""segundo"", QuotesCheckChallengeRecommendation2 &lt;&gt; """")), filter('Quotes-Check'!A424:D424, 'Quotes-Check'!A424:D424&lt;&gt;""g"&amp;"lugluieie""),"""")"),10.0)</f>
        <v>10</v>
      </c>
      <c r="B424" s="22">
        <f>IFERROR(__xludf.DUMMYFUNCTION("""COMPUTED_VALUE"""),30.0)</f>
        <v>30</v>
      </c>
      <c r="C424" s="2" t="str">
        <f>IFERROR(__xludf.DUMMYFUNCTION("""COMPUTED_VALUE"""),"R1 / R3")</f>
        <v>R1 / R3</v>
      </c>
      <c r="D424" s="22" t="str">
        <f>IFERROR(__xludf.DUMMYFUNCTION("""COMPUTED_VALUE"""),"Other Challenge and Recommendation")</f>
        <v>Other Challenge and Recommendation</v>
      </c>
      <c r="E424" s="46" t="str">
        <f>IFERROR(__xludf.DUMMYFUNCTION("if(or(QuotesCheckJudge="""",and(QuotesCheckJudge = ""primeiro"", QuotesCheckChallengeRecommendation1 &lt;&gt; """")), filter('Quotes-Check'!E424:F424, 'Quotes-Check'!E424:F424&lt;&gt;""glugluieie""),if(and(QuotesCheckJudge = ""segundo"", QuotesCheckChallengeRecommend"&amp;"ation2 &lt;&gt; """"), filter('Quotes-Check'!I424:J424, 'Quotes-Check'!I424:J424&lt;&gt;""glugluieie""),""""))"),"challenge")</f>
        <v>challenge</v>
      </c>
      <c r="F424" s="22" t="str">
        <f>IFERROR(__xludf.DUMMYFUNCTION("""COMPUTED_VALUE"""),"That's exactly. That's a lot for one semester")</f>
        <v>That's exactly. That's a lot for one semester</v>
      </c>
      <c r="G424" s="22" t="str">
        <f>if(QuotesCheckJudgeAbstract&lt;&gt;"",QuotesCheckJudgeAbstract,if(or(QuotesCheckJudge="",and(QuotesCheckJudge = "primeiro", QuotesCheckChallengeRecommendation1 &lt;&gt; "")), QuotesCheckAbstract1,if(and(QuotesCheckJudge = "segundo", QuotesCheckChallengeRecommendation2 &lt;&gt; ""), QuotesCheckAbstract2,"")))</f>
        <v>One semester is insufficient time to teach DevOps.</v>
      </c>
    </row>
    <row r="425">
      <c r="A425" s="22">
        <f>IFERROR(__xludf.DUMMYFUNCTION("if(or(QuotesCheckJudge="""",and(QuotesCheckJudge = ""primeiro"", QuotesCheckChallengeRecommendation1 &lt;&gt; """"),and(QuotesCheckJudge = ""segundo"", QuotesCheckChallengeRecommendation2 &lt;&gt; """")), filter('Quotes-Check'!A425:D425, 'Quotes-Check'!A425:D425&lt;&gt;""g"&amp;"lugluieie""),"""")"),11.0)</f>
        <v>11</v>
      </c>
      <c r="B425" s="22">
        <f>IFERROR(__xludf.DUMMYFUNCTION("""COMPUTED_VALUE"""),2.0)</f>
        <v>2</v>
      </c>
      <c r="C425" s="2" t="str">
        <f>IFERROR(__xludf.DUMMYFUNCTION("""COMPUTED_VALUE"""),"R2 / R3")</f>
        <v>R2 / R3</v>
      </c>
      <c r="D425" s="22" t="str">
        <f>IFERROR(__xludf.DUMMYFUNCTION("""COMPUTED_VALUE"""),"Educator Experience")</f>
        <v>Educator Experience</v>
      </c>
      <c r="E425" s="46" t="str">
        <f>IFERROR(__xludf.DUMMYFUNCTION("if(or(QuotesCheckJudge="""",and(QuotesCheckJudge = ""primeiro"", QuotesCheckChallengeRecommendation1 &lt;&gt; """")), filter('Quotes-Check'!E425:F425, 'Quotes-Check'!E425:F425&lt;&gt;""glugluieie""),if(and(QuotesCheckJudge = ""segundo"", QuotesCheckChallengeRecommend"&amp;"ation2 &lt;&gt; """"), filter('Quotes-Check'!I425:J425, 'Quotes-Check'!I425:J425&lt;&gt;""glugluieie""),""""))"),"recommendation")</f>
        <v>recommendation</v>
      </c>
      <c r="F425" s="22" t="str">
        <f>IFERROR(__xludf.DUMMYFUNCTION("""COMPUTED_VALUE"""),"I covered it is a few lectures, like on, on DevOps and, um, which look at DevOps from a kind of generic perspective, like introducing the concept of DevOps and the challenges related to DevOps and, and, and so on. And then introducing them some of the bas"&amp;"ic tools, like for instance, so using things like continuous integration tools, like Jenkins SIM swollen. And, uh, so I tried to introduce, uh, between maybe spending about a couple of weeks doing that, like the course was about 12 weeks. And so in Zen Ap"&amp;"p there, I focus more on specialized issues. So we spent some time on performance and scalability testing and things like the good testing and so on.")</f>
        <v>I covered it is a few lectures, like on, on DevOps and, um, which look at DevOps from a kind of generic perspective, like introducing the concept of DevOps and the challenges related to DevOps and, and, and so on. And then introducing them some of the basic tools, like for instance, so using things like continuous integration tools, like Jenkins SIM swollen. And, uh, so I tried to introduce, uh, between maybe spending about a couple of weeks doing that, like the course was about 12 weeks. And so in Zen App there, I focus more on specialized issues. So we spent some time on performance and scalability testing and things like the good testing and so on.</v>
      </c>
      <c r="G425" s="22" t="str">
        <f>if(QuotesCheckJudgeAbstract&lt;&gt;"",QuotesCheckJudgeAbstract,if(or(QuotesCheckJudge="",and(QuotesCheckJudge = "primeiro", QuotesCheckChallengeRecommendation1 &lt;&gt; "")), QuotesCheckAbstract1,if(and(QuotesCheckJudge = "segundo", QuotesCheckChallengeRecommendation2 &lt;&gt; ""), QuotesCheckAbstract2,"")))</f>
        <v>Start with a generic perspective of DevOps, basic concepts, and after a few weeks start to focus on specialized issues</v>
      </c>
    </row>
    <row r="426">
      <c r="A426" s="22">
        <f>IFERROR(__xludf.DUMMYFUNCTION("if(or(QuotesCheckJudge="""",and(QuotesCheckJudge = ""primeiro"", QuotesCheckChallengeRecommendation1 &lt;&gt; """"),and(QuotesCheckJudge = ""segundo"", QuotesCheckChallengeRecommendation2 &lt;&gt; """")), filter('Quotes-Check'!A426:D426, 'Quotes-Check'!A426:D426&lt;&gt;""g"&amp;"lugluieie""),"""")"),11.0)</f>
        <v>11</v>
      </c>
      <c r="B426" s="22">
        <f>IFERROR(__xludf.DUMMYFUNCTION("""COMPUTED_VALUE"""),3.0)</f>
        <v>3</v>
      </c>
      <c r="C426" s="2" t="str">
        <f>IFERROR(__xludf.DUMMYFUNCTION("""COMPUTED_VALUE"""),"R1 / R3")</f>
        <v>R1 / R3</v>
      </c>
      <c r="D426" s="22" t="str">
        <f>IFERROR(__xludf.DUMMYFUNCTION("""COMPUTED_VALUE"""),"General Challenges and Recommendations")</f>
        <v>General Challenges and Recommendations</v>
      </c>
      <c r="E426" s="46" t="str">
        <f>IFERROR(__xludf.DUMMYFUNCTION("if(or(QuotesCheckJudge="""",and(QuotesCheckJudge = ""primeiro"", QuotesCheckChallengeRecommendation1 &lt;&gt; """")), filter('Quotes-Check'!E426:F426, 'Quotes-Check'!E426:F426&lt;&gt;""glugluieie""),if(and(QuotesCheckJudge = ""segundo"", QuotesCheckChallengeRecommend"&amp;"ation2 &lt;&gt; """"), filter('Quotes-Check'!I426:J426, 'Quotes-Check'!I426:J426&lt;&gt;""glugluieie""),""""))"),"challenge")</f>
        <v>challenge</v>
      </c>
      <c r="F426" s="22" t="str">
        <f>IFERROR(__xludf.DUMMYFUNCTION("""COMPUTED_VALUE""")," And then the books are more industry oriented. Like, uh, we don't look at the, uh, uh, more with teaching parts, like, um, so there is no textbook, actually it is more industry document, eh, discussion about DevOps.")</f>
        <v> And then the books are more industry oriented. Like, uh, we don't look at the, uh, uh, more with teaching parts, like, um, so there is no textbook, actually it is more industry document, eh, discussion about DevOps.</v>
      </c>
      <c r="G426" s="22" t="str">
        <f>if(QuotesCheckJudgeAbstract&lt;&gt;"",QuotesCheckJudgeAbstract,if(or(QuotesCheckJudge="",and(QuotesCheckJudge = "primeiro", QuotesCheckChallengeRecommendation1 &lt;&gt; "")), QuotesCheckAbstract1,if(and(QuotesCheckJudge = "segundo", QuotesCheckChallengeRecommendation2 &lt;&gt; ""), QuotesCheckAbstract2,"")))</f>
        <v>The books are more industry oriented. There is no textbook about with discussion about DevOps concepts.</v>
      </c>
    </row>
    <row r="427">
      <c r="A427" s="22">
        <f>IFERROR(__xludf.DUMMYFUNCTION("if(or(QuotesCheckJudge="""",and(QuotesCheckJudge = ""primeiro"", QuotesCheckChallengeRecommendation1 &lt;&gt; """"),and(QuotesCheckJudge = ""segundo"", QuotesCheckChallengeRecommendation2 &lt;&gt; """")), filter('Quotes-Check'!A427:D427, 'Quotes-Check'!A427:D427&lt;&gt;""g"&amp;"lugluieie""),"""")"),11.0)</f>
        <v>11</v>
      </c>
      <c r="B427" s="22">
        <f>IFERROR(__xludf.DUMMYFUNCTION("""COMPUTED_VALUE"""),3.0)</f>
        <v>3</v>
      </c>
      <c r="C427" s="2" t="str">
        <f>IFERROR(__xludf.DUMMYFUNCTION("""COMPUTED_VALUE"""),"R1 / R3")</f>
        <v>R1 / R3</v>
      </c>
      <c r="D427" s="22" t="str">
        <f>IFERROR(__xludf.DUMMYFUNCTION("""COMPUTED_VALUE"""),"General Challenges and Recommendations")</f>
        <v>General Challenges and Recommendations</v>
      </c>
      <c r="E427" s="46" t="str">
        <f>IFERROR(__xludf.DUMMYFUNCTION("if(or(QuotesCheckJudge="""",and(QuotesCheckJudge = ""primeiro"", QuotesCheckChallengeRecommendation1 &lt;&gt; """")), filter('Quotes-Check'!E427:F427, 'Quotes-Check'!E427:F427&lt;&gt;""glugluieie""),if(and(QuotesCheckJudge = ""segundo"", QuotesCheckChallengeRecommend"&amp;"ation2 &lt;&gt; """"), filter('Quotes-Check'!I427:J427, 'Quotes-Check'!I427:J427&lt;&gt;""glugluieie""),""""))"),"recommendation")</f>
        <v>recommendation</v>
      </c>
      <c r="F427" s="22" t="str">
        <f>IFERROR(__xludf.DUMMYFUNCTION("""COMPUTED_VALUE"""),"  I spent a couple of discussing about the concepts discussing about the issues.
")</f>
        <v>  I spent a couple of discussing about the concepts discussing about the issues.
</v>
      </c>
      <c r="G427" s="22" t="str">
        <f>if(QuotesCheckJudgeAbstract&lt;&gt;"",QuotesCheckJudgeAbstract,if(or(QuotesCheckJudge="",and(QuotesCheckJudge = "primeiro", QuotesCheckChallengeRecommendation1 &lt;&gt; "")), QuotesCheckAbstract1,if(and(QuotesCheckJudge = "segundo", QuotesCheckChallengeRecommendation2 &lt;&gt; ""), QuotesCheckAbstract2,"")))</f>
        <v>Promotes discussions about DevOps concepts and related issues.</v>
      </c>
    </row>
    <row r="428">
      <c r="A428" s="22">
        <f>IFERROR(__xludf.DUMMYFUNCTION("if(or(QuotesCheckJudge="""",and(QuotesCheckJudge = ""primeiro"", QuotesCheckChallengeRecommendation1 &lt;&gt; """"),and(QuotesCheckJudge = ""segundo"", QuotesCheckChallengeRecommendation2 &lt;&gt; """")), filter('Quotes-Check'!A428:D428, 'Quotes-Check'!A428:D428&lt;&gt;""g"&amp;"lugluieie""),"""")"),11.0)</f>
        <v>11</v>
      </c>
      <c r="B428" s="22">
        <f>IFERROR(__xludf.DUMMYFUNCTION("""COMPUTED_VALUE"""),4.0)</f>
        <v>4</v>
      </c>
      <c r="C428" s="2" t="str">
        <f>IFERROR(__xludf.DUMMYFUNCTION("""COMPUTED_VALUE"""),"R1 / R3")</f>
        <v>R1 / R3</v>
      </c>
      <c r="D428" s="22" t="str">
        <f>IFERROR(__xludf.DUMMYFUNCTION("""COMPUTED_VALUE"""),"General Challenges and Recommendations")</f>
        <v>General Challenges and Recommendations</v>
      </c>
      <c r="E428" s="46" t="str">
        <f>IFERROR(__xludf.DUMMYFUNCTION("if(or(QuotesCheckJudge="""",and(QuotesCheckJudge = ""primeiro"", QuotesCheckChallengeRecommendation1 &lt;&gt; """")), filter('Quotes-Check'!E428:F428, 'Quotes-Check'!E428:F428&lt;&gt;""glugluieie""),if(and(QuotesCheckJudge = ""segundo"", QuotesCheckChallengeRecommend"&amp;"ation2 &lt;&gt; """"), filter('Quotes-Check'!I428:J428, 'Quotes-Check'!I428:J428&lt;&gt;""glugluieie""),""""))"),"recommendation")</f>
        <v>recommendation</v>
      </c>
      <c r="F428" s="22" t="str">
        <f>IFERROR(__xludf.DUMMYFUNCTION("""COMPUTED_VALUE"""),"So all of us, we covered a bit in really in the course, but also the, I mean, the lectures, but also they practice that in the lab.")</f>
        <v>So all of us, we covered a bit in really in the course, but also the, I mean, the lectures, but also they practice that in the lab.</v>
      </c>
      <c r="G428" s="22" t="str">
        <f>if(QuotesCheckJudgeAbstract&lt;&gt;"",QuotesCheckJudgeAbstract,if(or(QuotesCheckJudge="",and(QuotesCheckJudge = "primeiro", QuotesCheckChallengeRecommendation1 &lt;&gt; "")), QuotesCheckAbstract1,if(and(QuotesCheckJudge = "segundo", QuotesCheckChallengeRecommendation2 &lt;&gt; ""), QuotesCheckAbstract2,"")))</f>
        <v>Make use of labs and lectures.</v>
      </c>
    </row>
    <row r="429">
      <c r="A429" s="22">
        <f>IFERROR(__xludf.DUMMYFUNCTION("if(or(QuotesCheckJudge="""",and(QuotesCheckJudge = ""primeiro"", QuotesCheckChallengeRecommendation1 &lt;&gt; """"),and(QuotesCheckJudge = ""segundo"", QuotesCheckChallengeRecommendation2 &lt;&gt; """")), filter('Quotes-Check'!A429:D429, 'Quotes-Check'!A429:D429&lt;&gt;""g"&amp;"lugluieie""),"""")"),11.0)</f>
        <v>11</v>
      </c>
      <c r="B429" s="22">
        <f>IFERROR(__xludf.DUMMYFUNCTION("""COMPUTED_VALUE"""),4.0)</f>
        <v>4</v>
      </c>
      <c r="C429" s="2" t="str">
        <f>IFERROR(__xludf.DUMMYFUNCTION("""COMPUTED_VALUE"""),"R1 / R3")</f>
        <v>R1 / R3</v>
      </c>
      <c r="D429" s="22" t="str">
        <f>IFERROR(__xludf.DUMMYFUNCTION("""COMPUTED_VALUE"""),"General Challenges and Recommendations")</f>
        <v>General Challenges and Recommendations</v>
      </c>
      <c r="E429" s="46" t="str">
        <f>IFERROR(__xludf.DUMMYFUNCTION("if(or(QuotesCheckJudge="""",and(QuotesCheckJudge = ""primeiro"", QuotesCheckChallengeRecommendation1 &lt;&gt; """")), filter('Quotes-Check'!E429:F429, 'Quotes-Check'!E429:F429&lt;&gt;""glugluieie""),if(and(QuotesCheckJudge = ""segundo"", QuotesCheckChallengeRecommend"&amp;"ation2 &lt;&gt; """"), filter('Quotes-Check'!I429:J429, 'Quotes-Check'!I429:J429&lt;&gt;""glugluieie""),""""))"),"recommendation")</f>
        <v>recommendation</v>
      </c>
      <c r="F429" s="22" t="str">
        <f>IFERROR(__xludf.DUMMYFUNCTION("""COMPUTED_VALUE"""),"what I do is that after introducing a concept and so on, I started really looking at very specific issues ... so in the lab we students learn, uh, in our, to be able to, for instance, to create a pipeline currency, DevOps pipeline, and, and, um, very, uh,"&amp;" set up A B tests, create test cases and do automated test, uh, test automation. ")</f>
        <v>what I do is that after introducing a concept and so on, I started really looking at very specific issues ... so in the lab we students learn, uh, in our, to be able to, for instance, to create a pipeline currency, DevOps pipeline, and, and, um, very, uh, set up A B tests, create test cases and do automated test, uh, test automation. </v>
      </c>
      <c r="G429" s="22" t="str">
        <f>if(QuotesCheckJudgeAbstract&lt;&gt;"",QuotesCheckJudgeAbstract,if(or(QuotesCheckJudge="",and(QuotesCheckJudge = "primeiro", QuotesCheckChallengeRecommendation1 &lt;&gt; "")), QuotesCheckAbstract1,if(and(QuotesCheckJudge = "segundo", QuotesCheckChallengeRecommendation2 &lt;&gt; ""), QuotesCheckAbstract2,"")))</f>
        <v>Introduce a concept and do labs with creating DevOps pipeline, setup A/B tests, and automated tests.</v>
      </c>
    </row>
    <row r="430">
      <c r="A430" s="22">
        <f>IFERROR(__xludf.DUMMYFUNCTION("if(or(QuotesCheckJudge="""",and(QuotesCheckJudge = ""primeiro"", QuotesCheckChallengeRecommendation1 &lt;&gt; """"),and(QuotesCheckJudge = ""segundo"", QuotesCheckChallengeRecommendation2 &lt;&gt; """")), filter('Quotes-Check'!A430:D430, 'Quotes-Check'!A430:D430&lt;&gt;""g"&amp;"lugluieie""),"""")"),11.0)</f>
        <v>11</v>
      </c>
      <c r="B430" s="22">
        <f>IFERROR(__xludf.DUMMYFUNCTION("""COMPUTED_VALUE"""),5.0)</f>
        <v>5</v>
      </c>
      <c r="C430" s="2" t="str">
        <f>IFERROR(__xludf.DUMMYFUNCTION("""COMPUTED_VALUE"""),"R1 / R3")</f>
        <v>R1 / R3</v>
      </c>
      <c r="D430" s="22" t="str">
        <f>IFERROR(__xludf.DUMMYFUNCTION("""COMPUTED_VALUE"""),"General Challenges and Recommendations")</f>
        <v>General Challenges and Recommendations</v>
      </c>
      <c r="E430" s="46" t="str">
        <f>IFERROR(__xludf.DUMMYFUNCTION("if(or(QuotesCheckJudge="""",and(QuotesCheckJudge = ""primeiro"", QuotesCheckChallengeRecommendation1 &lt;&gt; """")), filter('Quotes-Check'!E430:F430, 'Quotes-Check'!E430:F430&lt;&gt;""glugluieie""),if(and(QuotesCheckJudge = ""segundo"", QuotesCheckChallengeRecommend"&amp;"ation2 &lt;&gt; """"), filter('Quotes-Check'!I430:J430, 'Quotes-Check'!I430:J430&lt;&gt;""glugluieie""),""""))"),"recommendation")</f>
        <v>recommendation</v>
      </c>
      <c r="F430" s="22" t="str">
        <f>IFERROR(__xludf.DUMMYFUNCTION("""COMPUTED_VALUE"""),"The lab is like in the lab, because it's a very practical ...   we've implemented an application, uh, a web application, which, uh, in, currently we are using the application we use is a banking application. It is the online banking where people can go in"&amp;" and create an account or transfer between accounts and do all those kind of thing.")</f>
        <v>The lab is like in the lab, because it's a very practical ...   we've implemented an application, uh, a web application, which, uh, in, currently we are using the application we use is a banking application. It is the online banking where people can go in and create an account or transfer between accounts and do all those kind of thing.</v>
      </c>
      <c r="G430" s="22" t="str">
        <f>if(QuotesCheckJudgeAbstract&lt;&gt;"",QuotesCheckJudgeAbstract,if(or(QuotesCheckJudge="",and(QuotesCheckJudge = "primeiro", QuotesCheckChallengeRecommendation1 &lt;&gt; "")), QuotesCheckAbstract1,if(and(QuotesCheckJudge = "segundo", QuotesCheckChallengeRecommendation2 &lt;&gt; ""), QuotesCheckAbstract2,"")))</f>
        <v>Provide sample application in the labs.</v>
      </c>
    </row>
    <row r="431">
      <c r="A431" s="22">
        <f>IFERROR(__xludf.DUMMYFUNCTION("if(or(QuotesCheckJudge="""",and(QuotesCheckJudge = ""primeiro"", QuotesCheckChallengeRecommendation1 &lt;&gt; """"),and(QuotesCheckJudge = ""segundo"", QuotesCheckChallengeRecommendation2 &lt;&gt; """")), filter('Quotes-Check'!A431:D431, 'Quotes-Check'!A431:D431&lt;&gt;""g"&amp;"lugluieie""),"""")"),11.0)</f>
        <v>11</v>
      </c>
      <c r="B431" s="22">
        <f>IFERROR(__xludf.DUMMYFUNCTION("""COMPUTED_VALUE"""),5.0)</f>
        <v>5</v>
      </c>
      <c r="C431" s="2" t="str">
        <f>IFERROR(__xludf.DUMMYFUNCTION("""COMPUTED_VALUE"""),"R1 / R3")</f>
        <v>R1 / R3</v>
      </c>
      <c r="D431" s="22" t="str">
        <f>IFERROR(__xludf.DUMMYFUNCTION("""COMPUTED_VALUE"""),"General Challenges and Recommendations")</f>
        <v>General Challenges and Recommendations</v>
      </c>
      <c r="E431" s="46" t="str">
        <f>IFERROR(__xludf.DUMMYFUNCTION("if(or(QuotesCheckJudge="""",and(QuotesCheckJudge = ""primeiro"", QuotesCheckChallengeRecommendation1 &lt;&gt; """")), filter('Quotes-Check'!E431:F431, 'Quotes-Check'!E431:F431&lt;&gt;""glugluieie""),if(and(QuotesCheckJudge = ""segundo"", QuotesCheckChallengeRecommend"&amp;"ation2 &lt;&gt; """"), filter('Quotes-Check'!I431:J431, 'Quotes-Check'!I431:J431&lt;&gt;""glugluieie""),""""))"),"recommendation")</f>
        <v>recommendation</v>
      </c>
      <c r="F431" s="22" t="str">
        <f>IFERROR(__xludf.DUMMYFUNCTION("""COMPUTED_VALUE"""),"So we employ someone in our team, a couple of people who work on implementing that, and we created some issues in the application, like some bugs. ")</f>
        <v>So we employ someone in our team, a couple of people who work on implementing that, and we created some issues in the application, like some bugs. </v>
      </c>
      <c r="G431" s="22" t="str">
        <f>if(QuotesCheckJudgeAbstract&lt;&gt;"",QuotesCheckJudgeAbstract,if(or(QuotesCheckJudge="",and(QuotesCheckJudge = "primeiro", QuotesCheckChallengeRecommendation1 &lt;&gt; "")), QuotesCheckAbstract1,if(and(QuotesCheckJudge = "segundo", QuotesCheckChallengeRecommendation2 &lt;&gt; ""), QuotesCheckAbstract2,"")))</f>
        <v>Try to simulate a real scenario employing someone in the group to insert issues and bugs in students project.</v>
      </c>
    </row>
    <row r="432">
      <c r="A432" s="22">
        <f>IFERROR(__xludf.DUMMYFUNCTION("if(or(QuotesCheckJudge="""",and(QuotesCheckJudge = ""primeiro"", QuotesCheckChallengeRecommendation1 &lt;&gt; """"),and(QuotesCheckJudge = ""segundo"", QuotesCheckChallengeRecommendation2 &lt;&gt; """")), filter('Quotes-Check'!A432:D432, 'Quotes-Check'!A432:D432&lt;&gt;""g"&amp;"lugluieie""),"""")"),11.0)</f>
        <v>11</v>
      </c>
      <c r="B432" s="22">
        <f>IFERROR(__xludf.DUMMYFUNCTION("""COMPUTED_VALUE"""),5.0)</f>
        <v>5</v>
      </c>
      <c r="C432" s="2" t="str">
        <f>IFERROR(__xludf.DUMMYFUNCTION("""COMPUTED_VALUE"""),"R1 / R3")</f>
        <v>R1 / R3</v>
      </c>
      <c r="D432" s="22" t="str">
        <f>IFERROR(__xludf.DUMMYFUNCTION("""COMPUTED_VALUE"""),"General Challenges and Recommendations")</f>
        <v>General Challenges and Recommendations</v>
      </c>
      <c r="E432" s="46" t="str">
        <f>IFERROR(__xludf.DUMMYFUNCTION("if(or(QuotesCheckJudge="""",and(QuotesCheckJudge = ""primeiro"", QuotesCheckChallengeRecommendation1 &lt;&gt; """")), filter('Quotes-Check'!E432:F432, 'Quotes-Check'!E432:F432&lt;&gt;""glugluieie""),if(and(QuotesCheckJudge = ""segundo"", QuotesCheckChallengeRecommend"&amp;"ation2 &lt;&gt; """"), filter('Quotes-Check'!I432:J432, 'Quotes-Check'!I432:J432&lt;&gt;""glugluieie""),""""))"),"recommendation")</f>
        <v>recommendation</v>
      </c>
      <c r="F432" s="22" t="str">
        <f>IFERROR(__xludf.DUMMYFUNCTION("""COMPUTED_VALUE"""),"the students have to do in the projects is to start by coming up with the requirements of the obvious application, and then start setting up their own environment and provide some additional functionalities that we want to implement. ")</f>
        <v>the students have to do in the projects is to start by coming up with the requirements of the obvious application, and then start setting up their own environment and provide some additional functionalities that we want to implement. </v>
      </c>
      <c r="G432" s="22" t="str">
        <f>if(QuotesCheckJudgeAbstract&lt;&gt;"",QuotesCheckJudgeAbstract,if(or(QuotesCheckJudge="",and(QuotesCheckJudge = "primeiro", QuotesCheckChallengeRecommendation1 &lt;&gt; "")), QuotesCheckAbstract1,if(and(QuotesCheckJudge = "segundo", QuotesCheckChallengeRecommendation2 &lt;&gt; ""), QuotesCheckAbstract2,"")))</f>
        <v>Students start setting up their own DevOps environment and provide additional feature using simple application in the project.</v>
      </c>
    </row>
    <row r="433">
      <c r="A433" s="22">
        <f>IFERROR(__xludf.DUMMYFUNCTION("if(or(QuotesCheckJudge="""",and(QuotesCheckJudge = ""primeiro"", QuotesCheckChallengeRecommendation1 &lt;&gt; """"),and(QuotesCheckJudge = ""segundo"", QuotesCheckChallengeRecommendation2 &lt;&gt; """")), filter('Quotes-Check'!A433:D433, 'Quotes-Check'!A433:D433&lt;&gt;""g"&amp;"lugluieie""),"""")"),11.0)</f>
        <v>11</v>
      </c>
      <c r="B433" s="22">
        <f>IFERROR(__xludf.DUMMYFUNCTION("""COMPUTED_VALUE"""),6.0)</f>
        <v>6</v>
      </c>
      <c r="C433" s="2" t="str">
        <f>IFERROR(__xludf.DUMMYFUNCTION("""COMPUTED_VALUE"""),"R1 / R2")</f>
        <v>R1 / R2</v>
      </c>
      <c r="D433" s="22" t="str">
        <f>IFERROR(__xludf.DUMMYFUNCTION("""COMPUTED_VALUE"""),"General Challenges and Recommendations")</f>
        <v>General Challenges and Recommendations</v>
      </c>
      <c r="E433" s="46" t="str">
        <f>IFERROR(__xludf.DUMMYFUNCTION("if(or(QuotesCheckJudge="""",and(QuotesCheckJudge = ""primeiro"", QuotesCheckChallengeRecommendation1 &lt;&gt; """")), filter('Quotes-Check'!E433:F433, 'Quotes-Check'!E433:F433&lt;&gt;""glugluieie""),if(and(QuotesCheckJudge = ""segundo"", QuotesCheckChallengeRecommend"&amp;"ation2 &lt;&gt; """"), filter('Quotes-Check'!I433:J433, 'Quotes-Check'!I433:J433&lt;&gt;""glugluieie""),""""))"),"challenge")</f>
        <v>challenge</v>
      </c>
      <c r="F433" s="22" t="str">
        <f>IFERROR(__xludf.DUMMYFUNCTION("""COMPUTED_VALUE"""),"the point is how do we adapt DevOps in concept in a way where we, we are still take keeping in mind the theoretical foundation, but where make it making it interesting from an industry or practical perspective.")</f>
        <v>the point is how do we adapt DevOps in concept in a way where we, we are still take keeping in mind the theoretical foundation, but where make it making it interesting from an industry or practical perspective.</v>
      </c>
      <c r="G433" s="22" t="str">
        <f>if(QuotesCheckJudgeAbstract&lt;&gt;"",QuotesCheckJudgeAbstract,if(or(QuotesCheckJudge="",and(QuotesCheckJudge = "primeiro", QuotesCheckChallengeRecommendation1 &lt;&gt; "")), QuotesCheckAbstract1,if(and(QuotesCheckJudge = "segundo", QuotesCheckChallengeRecommendation2 &lt;&gt; ""), QuotesCheckAbstract2,"")))</f>
        <v>It's challenging to teach DevOps concepts that have theoretical foundations and make them interesting from the industry perspective.</v>
      </c>
    </row>
    <row r="434">
      <c r="A434" s="22">
        <f>IFERROR(__xludf.DUMMYFUNCTION("if(or(QuotesCheckJudge="""",and(QuotesCheckJudge = ""primeiro"", QuotesCheckChallengeRecommendation1 &lt;&gt; """"),and(QuotesCheckJudge = ""segundo"", QuotesCheckChallengeRecommendation2 &lt;&gt; """")), filter('Quotes-Check'!A434:D434, 'Quotes-Check'!A434:D434&lt;&gt;""g"&amp;"lugluieie""),"""")"),11.0)</f>
        <v>11</v>
      </c>
      <c r="B434" s="22">
        <f>IFERROR(__xludf.DUMMYFUNCTION("""COMPUTED_VALUE"""),6.0)</f>
        <v>6</v>
      </c>
      <c r="C434" s="2" t="str">
        <f>IFERROR(__xludf.DUMMYFUNCTION("""COMPUTED_VALUE"""),"R1 / R2")</f>
        <v>R1 / R2</v>
      </c>
      <c r="D434" s="22" t="str">
        <f>IFERROR(__xludf.DUMMYFUNCTION("""COMPUTED_VALUE"""),"General Challenges and Recommendations")</f>
        <v>General Challenges and Recommendations</v>
      </c>
      <c r="E434" s="46" t="str">
        <f>IFERROR(__xludf.DUMMYFUNCTION("if(or(QuotesCheckJudge="""",and(QuotesCheckJudge = ""primeiro"", QuotesCheckChallengeRecommendation1 &lt;&gt; """")), filter('Quotes-Check'!E434:F434, 'Quotes-Check'!E434:F434&lt;&gt;""glugluieie""),if(and(QuotesCheckJudge = ""segundo"", QuotesCheckChallengeRecommend"&amp;"ation2 &lt;&gt; """"), filter('Quotes-Check'!I434:J434, 'Quotes-Check'!I434:J434&lt;&gt;""glugluieie""),""""))"),"challenge")</f>
        <v>challenge</v>
      </c>
      <c r="F434" s="22" t="str">
        <f>IFERROR(__xludf.DUMMYFUNCTION("""COMPUTED_VALUE""")," what we sit and do, but, uh, so from the lab perspective, that's interesting, but on the teaching side, as I said, like, uh, having limited material, make the teaching a little bit more difficult.")</f>
        <v> what we sit and do, but, uh, so from the lab perspective, that's interesting, but on the teaching side, as I said, like, uh, having limited material, make the teaching a little bit more difficult.</v>
      </c>
      <c r="G434" s="22" t="str">
        <f>if(QuotesCheckJudgeAbstract&lt;&gt;"",QuotesCheckJudgeAbstract,if(or(QuotesCheckJudge="",and(QuotesCheckJudge = "primeiro", QuotesCheckChallengeRecommendation1 &lt;&gt; "")), QuotesCheckAbstract1,if(and(QuotesCheckJudge = "segundo", QuotesCheckChallengeRecommendation2 &lt;&gt; ""), QuotesCheckAbstract2,"")))</f>
        <v>There's limited material to teach.</v>
      </c>
    </row>
    <row r="435">
      <c r="A435" s="22">
        <f>IFERROR(__xludf.DUMMYFUNCTION("if(or(QuotesCheckJudge="""",and(QuotesCheckJudge = ""primeiro"", QuotesCheckChallengeRecommendation1 &lt;&gt; """"),and(QuotesCheckJudge = ""segundo"", QuotesCheckChallengeRecommendation2 &lt;&gt; """")), filter('Quotes-Check'!A435:D435, 'Quotes-Check'!A435:D435&lt;&gt;""g"&amp;"lugluieie""),"""")"),11.0)</f>
        <v>11</v>
      </c>
      <c r="B435" s="22">
        <f>IFERROR(__xludf.DUMMYFUNCTION("""COMPUTED_VALUE"""),7.0)</f>
        <v>7</v>
      </c>
      <c r="C435" s="2" t="str">
        <f>IFERROR(__xludf.DUMMYFUNCTION("""COMPUTED_VALUE"""),"R2 / R3")</f>
        <v>R2 / R3</v>
      </c>
      <c r="D435" s="22" t="str">
        <f>IFERROR(__xludf.DUMMYFUNCTION("""COMPUTED_VALUE"""),"Environment Setup")</f>
        <v>Environment Setup</v>
      </c>
      <c r="E435" s="46" t="str">
        <f>IFERROR(__xludf.DUMMYFUNCTION("if(or(QuotesCheckJudge="""",and(QuotesCheckJudge = ""primeiro"", QuotesCheckChallengeRecommendation1 &lt;&gt; """")), filter('Quotes-Check'!E435:F435, 'Quotes-Check'!E435:F435&lt;&gt;""glugluieie""),if(and(QuotesCheckJudge = ""segundo"", QuotesCheckChallengeRecommend"&amp;"ation2 &lt;&gt; """"), filter('Quotes-Check'!I435:J435, 'Quotes-Check'!I435:J435&lt;&gt;""glugluieie""),""""))"),"recommendation")</f>
        <v>recommendation</v>
      </c>
      <c r="F435" s="22" t="str">
        <f>IFERROR(__xludf.DUMMYFUNCTION("""COMPUTED_VALUE"""),"I put them by a team of four, six per group, and then we work together and, and that's good also because it may be working in a team. ")</f>
        <v>I put them by a team of four, six per group, and then we work together and, and that's good also because it may be working in a team. </v>
      </c>
      <c r="G435" s="22" t="str">
        <f>if(QuotesCheckJudgeAbstract&lt;&gt;"",QuotesCheckJudgeAbstract,if(or(QuotesCheckJudge="",and(QuotesCheckJudge = "primeiro", QuotesCheckChallengeRecommendation1 &lt;&gt; "")), QuotesCheckAbstract1,if(and(QuotesCheckJudge = "segundo", QuotesCheckChallengeRecommendation2 &lt;&gt; ""), QuotesCheckAbstract2,"")))</f>
        <v>Put students to work by a team of four to six per group.</v>
      </c>
    </row>
    <row r="436">
      <c r="A436" s="22">
        <f>IFERROR(__xludf.DUMMYFUNCTION("if(or(QuotesCheckJudge="""",and(QuotesCheckJudge = ""primeiro"", QuotesCheckChallengeRecommendation1 &lt;&gt; """"),and(QuotesCheckJudge = ""segundo"", QuotesCheckChallengeRecommendation2 &lt;&gt; """")), filter('Quotes-Check'!A436:D436, 'Quotes-Check'!A436:D436&lt;&gt;""g"&amp;"lugluieie""),"""")"),11.0)</f>
        <v>11</v>
      </c>
      <c r="B436" s="22">
        <f>IFERROR(__xludf.DUMMYFUNCTION("""COMPUTED_VALUE"""),7.0)</f>
        <v>7</v>
      </c>
      <c r="C436" s="2" t="str">
        <f>IFERROR(__xludf.DUMMYFUNCTION("""COMPUTED_VALUE"""),"R2 / R3")</f>
        <v>R2 / R3</v>
      </c>
      <c r="D436" s="22" t="str">
        <f>IFERROR(__xludf.DUMMYFUNCTION("""COMPUTED_VALUE"""),"Environment Setup")</f>
        <v>Environment Setup</v>
      </c>
      <c r="E436" s="46" t="str">
        <f>IFERROR(__xludf.DUMMYFUNCTION("if(or(QuotesCheckJudge="""",and(QuotesCheckJudge = ""primeiro"", QuotesCheckChallengeRecommendation1 &lt;&gt; """")), filter('Quotes-Check'!E436:F436, 'Quotes-Check'!E436:F436&lt;&gt;""glugluieie""),if(and(QuotesCheckJudge = ""segundo"", QuotesCheckChallengeRecommend"&amp;"ation2 &lt;&gt; """"), filter('Quotes-Check'!I436:J436, 'Quotes-Check'!I436:J436&lt;&gt;""glugluieie""),""""))"),"recommendation")</f>
        <v>recommendation</v>
      </c>
      <c r="F436" s="22" t="str">
        <f>IFERROR(__xludf.DUMMYFUNCTION("""COMPUTED_VALUE"""),"Also making the project interesting is important because it, you can, it's very easy when you are teaching to just take a very small project, which is not very, uh, challenging in all with students.
")</f>
        <v>Also making the project interesting is important because it, you can, it's very easy when you are teaching to just take a very small project, which is not very, uh, challenging in all with students.
</v>
      </c>
      <c r="G436" s="22" t="str">
        <f>if(QuotesCheckJudgeAbstract&lt;&gt;"",QuotesCheckJudgeAbstract,if(or(QuotesCheckJudge="",and(QuotesCheckJudge = "primeiro", QuotesCheckChallengeRecommendation1 &lt;&gt; "")), QuotesCheckAbstract1,if(and(QuotesCheckJudge = "segundo", QuotesCheckChallengeRecommendation2 &lt;&gt; ""), QuotesCheckAbstract2,"")))</f>
        <v>The project of the class should not be very small and must be challenging.</v>
      </c>
    </row>
    <row r="437">
      <c r="A437" s="22">
        <f>IFERROR(__xludf.DUMMYFUNCTION("if(or(QuotesCheckJudge="""",and(QuotesCheckJudge = ""primeiro"", QuotesCheckChallengeRecommendation1 &lt;&gt; """"),and(QuotesCheckJudge = ""segundo"", QuotesCheckChallengeRecommendation2 &lt;&gt; """")), filter('Quotes-Check'!A437:D437, 'Quotes-Check'!A437:D437&lt;&gt;""g"&amp;"lugluieie""),"""")"),11.0)</f>
        <v>11</v>
      </c>
      <c r="B437" s="22">
        <f>IFERROR(__xludf.DUMMYFUNCTION("""COMPUTED_VALUE"""),8.0)</f>
        <v>8</v>
      </c>
      <c r="C437" s="2" t="str">
        <f>IFERROR(__xludf.DUMMYFUNCTION("""COMPUTED_VALUE"""),"R1 / R3")</f>
        <v>R1 / R3</v>
      </c>
      <c r="D437" s="22" t="str">
        <f>IFERROR(__xludf.DUMMYFUNCTION("""COMPUTED_VALUE"""),"Environment Setup")</f>
        <v>Environment Setup</v>
      </c>
      <c r="E437" s="46" t="str">
        <f>IFERROR(__xludf.DUMMYFUNCTION("if(or(QuotesCheckJudge="""",and(QuotesCheckJudge = ""primeiro"", QuotesCheckChallengeRecommendation1 &lt;&gt; """")), filter('Quotes-Check'!E437:F437, 'Quotes-Check'!E437:F437&lt;&gt;""glugluieie""),if(and(QuotesCheckJudge = ""segundo"", QuotesCheckChallengeRecommend"&amp;"ation2 &lt;&gt; """"), filter('Quotes-Check'!I437:J437, 'Quotes-Check'!I437:J437&lt;&gt;""glugluieie""),""""))"),"recommendation")</f>
        <v>recommendation</v>
      </c>
      <c r="F437" s="22" t="str">
        <f>IFERROR(__xludf.DUMMYFUNCTION("""COMPUTED_VALUE"""),"for exam can be to use an open source application that we can use")</f>
        <v>for exam can be to use an open source application that we can use</v>
      </c>
      <c r="G437" s="22" t="str">
        <f>if(QuotesCheckJudgeAbstract&lt;&gt;"",QuotesCheckJudgeAbstract,if(or(QuotesCheckJudge="",and(QuotesCheckJudge = "primeiro", QuotesCheckChallengeRecommendation1 &lt;&gt; "")), QuotesCheckAbstract1,if(and(QuotesCheckJudge = "segundo", QuotesCheckChallengeRecommendation2 &lt;&gt; ""), QuotesCheckAbstract2,"")))</f>
        <v>An open source application can be used for the exam.</v>
      </c>
    </row>
    <row r="438">
      <c r="A438" s="22">
        <f>IFERROR(__xludf.DUMMYFUNCTION("if(or(QuotesCheckJudge="""",and(QuotesCheckJudge = ""primeiro"", QuotesCheckChallengeRecommendation1 &lt;&gt; """"),and(QuotesCheckJudge = ""segundo"", QuotesCheckChallengeRecommendation2 &lt;&gt; """")), filter('Quotes-Check'!A438:D438, 'Quotes-Check'!A438:D438&lt;&gt;""g"&amp;"lugluieie""),"""")"),11.0)</f>
        <v>11</v>
      </c>
      <c r="B438" s="22">
        <f>IFERROR(__xludf.DUMMYFUNCTION("""COMPUTED_VALUE"""),8.0)</f>
        <v>8</v>
      </c>
      <c r="C438" s="2" t="str">
        <f>IFERROR(__xludf.DUMMYFUNCTION("""COMPUTED_VALUE"""),"R1 / R3")</f>
        <v>R1 / R3</v>
      </c>
      <c r="D438" s="22" t="str">
        <f>IFERROR(__xludf.DUMMYFUNCTION("""COMPUTED_VALUE"""),"Environment Setup")</f>
        <v>Environment Setup</v>
      </c>
      <c r="E438" s="46" t="str">
        <f>IFERROR(__xludf.DUMMYFUNCTION("if(or(QuotesCheckJudge="""",and(QuotesCheckJudge = ""primeiro"", QuotesCheckChallengeRecommendation1 &lt;&gt; """")), filter('Quotes-Check'!E438:F438, 'Quotes-Check'!E438:F438&lt;&gt;""glugluieie""),if(and(QuotesCheckJudge = ""segundo"", QuotesCheckChallengeRecommend"&amp;"ation2 &lt;&gt; """"), filter('Quotes-Check'!I438:J438, 'Quotes-Check'!I438:J438&lt;&gt;""glugluieie""),""""))"),"challenge")</f>
        <v>challenge</v>
      </c>
      <c r="F438" s="22" t="str">
        <f>IFERROR(__xludf.DUMMYFUNCTION("""COMPUTED_VALUE""")," the challenge sometimes is finding a good open source application, which is not too big also because you don't want the project to be too big. You don't want it to be too small, but you don't want too big. So, so finding something in between, which can b"&amp;"e used. And, and, uh, so ")</f>
        <v> the challenge sometimes is finding a good open source application, which is not too big also because you don't want the project to be too big. You don't want it to be too small, but you don't want too big. So, so finding something in between, which can be used. And, and, uh, so </v>
      </c>
      <c r="G438" s="22" t="str">
        <f>if(QuotesCheckJudgeAbstract&lt;&gt;"",QuotesCheckJudgeAbstract,if(or(QuotesCheckJudge="",and(QuotesCheckJudge = "primeiro", QuotesCheckChallengeRecommendation1 &lt;&gt; "")), QuotesCheckAbstract1,if(and(QuotesCheckJudge = "segundo", QuotesCheckChallengeRecommendation2 &lt;&gt; ""), QuotesCheckAbstract2,"")))</f>
        <v>It is difficult to find the right sized open source project to use. It is should be not too small and not too bit.</v>
      </c>
    </row>
    <row r="439">
      <c r="A439" s="22">
        <f>IFERROR(__xludf.DUMMYFUNCTION("if(or(QuotesCheckJudge="""",and(QuotesCheckJudge = ""primeiro"", QuotesCheckChallengeRecommendation1 &lt;&gt; """"),and(QuotesCheckJudge = ""segundo"", QuotesCheckChallengeRecommendation2 &lt;&gt; """")), filter('Quotes-Check'!A439:D439, 'Quotes-Check'!A439:D439&lt;&gt;""g"&amp;"lugluieie""),"""")"),11.0)</f>
        <v>11</v>
      </c>
      <c r="B439" s="22">
        <f>IFERROR(__xludf.DUMMYFUNCTION("""COMPUTED_VALUE"""),8.0)</f>
        <v>8</v>
      </c>
      <c r="C439" s="2" t="str">
        <f>IFERROR(__xludf.DUMMYFUNCTION("""COMPUTED_VALUE"""),"R1 / R3")</f>
        <v>R1 / R3</v>
      </c>
      <c r="D439" s="22" t="str">
        <f>IFERROR(__xludf.DUMMYFUNCTION("""COMPUTED_VALUE"""),"Environment Setup")</f>
        <v>Environment Setup</v>
      </c>
      <c r="E439" s="46" t="str">
        <f>IFERROR(__xludf.DUMMYFUNCTION("if(or(QuotesCheckJudge="""",and(QuotesCheckJudge = ""primeiro"", QuotesCheckChallengeRecommendation1 &lt;&gt; """")), filter('Quotes-Check'!E439:F439, 'Quotes-Check'!E439:F439&lt;&gt;""glugluieie""),if(and(QuotesCheckJudge = ""segundo"", QuotesCheckChallengeRecommend"&amp;"ation2 &lt;&gt; """"), filter('Quotes-Check'!I439:J439, 'Quotes-Check'!I439:J439&lt;&gt;""glugluieie""),""""))"),"recommendation")</f>
        <v>recommendation</v>
      </c>
      <c r="F439" s="22" t="str">
        <f>IFERROR(__xludf.DUMMYFUNCTION("""COMPUTED_VALUE""")," I try to use as much as possible with tools that people use in industry and companies.")</f>
        <v> I try to use as much as possible with tools that people use in industry and companies.</v>
      </c>
      <c r="G439" s="22" t="str">
        <f>if(QuotesCheckJudgeAbstract&lt;&gt;"",QuotesCheckJudgeAbstract,if(or(QuotesCheckJudge="",and(QuotesCheckJudge = "primeiro", QuotesCheckChallengeRecommendation1 &lt;&gt; "")), QuotesCheckAbstract1,if(and(QuotesCheckJudge = "segundo", QuotesCheckChallengeRecommendation2 &lt;&gt; ""), QuotesCheckAbstract2,"")))</f>
        <v>Use as much as possible relevant industry tools.</v>
      </c>
    </row>
    <row r="440">
      <c r="A440" s="22">
        <f>IFERROR(__xludf.DUMMYFUNCTION("if(or(QuotesCheckJudge="""",and(QuotesCheckJudge = ""primeiro"", QuotesCheckChallengeRecommendation1 &lt;&gt; """"),and(QuotesCheckJudge = ""segundo"", QuotesCheckChallengeRecommendation2 &lt;&gt; """")), filter('Quotes-Check'!A440:D440, 'Quotes-Check'!A440:D440&lt;&gt;""g"&amp;"lugluieie""),"""")"),11.0)</f>
        <v>11</v>
      </c>
      <c r="B440" s="22">
        <f>IFERROR(__xludf.DUMMYFUNCTION("""COMPUTED_VALUE"""),8.0)</f>
        <v>8</v>
      </c>
      <c r="C440" s="2" t="str">
        <f>IFERROR(__xludf.DUMMYFUNCTION("""COMPUTED_VALUE"""),"R1 / R3")</f>
        <v>R1 / R3</v>
      </c>
      <c r="D440" s="22" t="str">
        <f>IFERROR(__xludf.DUMMYFUNCTION("""COMPUTED_VALUE"""),"Environment Setup")</f>
        <v>Environment Setup</v>
      </c>
      <c r="E440" s="46" t="str">
        <f>IFERROR(__xludf.DUMMYFUNCTION("if(or(QuotesCheckJudge="""",and(QuotesCheckJudge = ""primeiro"", QuotesCheckChallengeRecommendation1 &lt;&gt; """")), filter('Quotes-Check'!E440:F440, 'Quotes-Check'!E440:F440&lt;&gt;""glugluieie""),if(and(QuotesCheckJudge = ""segundo"", QuotesCheckChallengeRecommend"&amp;"ation2 &lt;&gt; """"), filter('Quotes-Check'!I440:J440, 'Quotes-Check'!I440:J440&lt;&gt;""glugluieie""),""""))"),"recommendation")</f>
        <v>recommendation</v>
      </c>
      <c r="F440" s="22" t="str">
        <f>IFERROR(__xludf.DUMMYFUNCTION("""COMPUTED_VALUE"""),"And, and, uh, so in terms of the continuous integration server, and there are many different services available, but can we use Jenkins because it is a, it is free and, and a lot of companies are using, but there are some other options that can be used.")</f>
        <v>And, and, uh, so in terms of the continuous integration server, and there are many different services available, but can we use Jenkins because it is a, it is free and, and a lot of companies are using, but there are some other options that can be used.</v>
      </c>
      <c r="G440" s="22" t="str">
        <f>if(QuotesCheckJudgeAbstract&lt;&gt;"",QuotesCheckJudgeAbstract,if(or(QuotesCheckJudge="",and(QuotesCheckJudge = "primeiro", QuotesCheckChallengeRecommendation1 &lt;&gt; "")), QuotesCheckAbstract1,if(and(QuotesCheckJudge = "segundo", QuotesCheckChallengeRecommendation2 &lt;&gt; ""), QuotesCheckAbstract2,"")))</f>
        <v>Jenkins can be use as continuous integration tool because it is free and lot of companies use it.</v>
      </c>
    </row>
    <row r="441">
      <c r="A441" s="22">
        <f>IFERROR(__xludf.DUMMYFUNCTION("if(or(QuotesCheckJudge="""",and(QuotesCheckJudge = ""primeiro"", QuotesCheckChallengeRecommendation1 &lt;&gt; """"),and(QuotesCheckJudge = ""segundo"", QuotesCheckChallengeRecommendation2 &lt;&gt; """")), filter('Quotes-Check'!A441:D441, 'Quotes-Check'!A441:D441&lt;&gt;""g"&amp;"lugluieie""),"""")"),11.0)</f>
        <v>11</v>
      </c>
      <c r="B441" s="22">
        <f>IFERROR(__xludf.DUMMYFUNCTION("""COMPUTED_VALUE"""),9.0)</f>
        <v>9</v>
      </c>
      <c r="C441" s="2" t="str">
        <f>IFERROR(__xludf.DUMMYFUNCTION("""COMPUTED_VALUE"""),"R1 / R3")</f>
        <v>R1 / R3</v>
      </c>
      <c r="D441" s="22" t="str">
        <f>IFERROR(__xludf.DUMMYFUNCTION("""COMPUTED_VALUE"""),"Environment Setup")</f>
        <v>Environment Setup</v>
      </c>
      <c r="E441" s="46" t="str">
        <f>IFERROR(__xludf.DUMMYFUNCTION("if(or(QuotesCheckJudge="""",and(QuotesCheckJudge = ""primeiro"", QuotesCheckChallengeRecommendation1 &lt;&gt; """")), filter('Quotes-Check'!E441:F441, 'Quotes-Check'!E441:F441&lt;&gt;""glugluieie""),if(and(QuotesCheckJudge = ""segundo"", QuotesCheckChallengeRecommend"&amp;"ation2 &lt;&gt; """"), filter('Quotes-Check'!I441:J441, 'Quotes-Check'!I441:J441&lt;&gt;""glugluieie""),""""))"),"recommendation")</f>
        <v>recommendation</v>
      </c>
      <c r="F441" s="22" t="str">
        <f>IFERROR(__xludf.DUMMYFUNCTION("""COMPUTED_VALUE"""),"we use Selenium for test automation")</f>
        <v>we use Selenium for test automation</v>
      </c>
      <c r="G441" s="22" t="str">
        <f>if(QuotesCheckJudgeAbstract&lt;&gt;"",QuotesCheckJudgeAbstract,if(or(QuotesCheckJudge="",and(QuotesCheckJudge = "primeiro", QuotesCheckChallengeRecommendation1 &lt;&gt; "")), QuotesCheckAbstract1,if(and(QuotesCheckJudge = "segundo", QuotesCheckChallengeRecommendation2 &lt;&gt; ""), QuotesCheckAbstract2,"")))</f>
        <v>Use Selenium for test automation.</v>
      </c>
    </row>
    <row r="442">
      <c r="A442" s="22">
        <f>IFERROR(__xludf.DUMMYFUNCTION("if(or(QuotesCheckJudge="""",and(QuotesCheckJudge = ""primeiro"", QuotesCheckChallengeRecommendation1 &lt;&gt; """"),and(QuotesCheckJudge = ""segundo"", QuotesCheckChallengeRecommendation2 &lt;&gt; """")), filter('Quotes-Check'!A442:D442, 'Quotes-Check'!A442:D442&lt;&gt;""g"&amp;"lugluieie""),"""")"),11.0)</f>
        <v>11</v>
      </c>
      <c r="B442" s="22">
        <f>IFERROR(__xludf.DUMMYFUNCTION("""COMPUTED_VALUE"""),9.0)</f>
        <v>9</v>
      </c>
      <c r="C442" s="2" t="str">
        <f>IFERROR(__xludf.DUMMYFUNCTION("""COMPUTED_VALUE"""),"R1 / R3")</f>
        <v>R1 / R3</v>
      </c>
      <c r="D442" s="22" t="str">
        <f>IFERROR(__xludf.DUMMYFUNCTION("""COMPUTED_VALUE"""),"Environment Setup")</f>
        <v>Environment Setup</v>
      </c>
      <c r="E442" s="46" t="str">
        <f>IFERROR(__xludf.DUMMYFUNCTION("if(or(QuotesCheckJudge="""",and(QuotesCheckJudge = ""primeiro"", QuotesCheckChallengeRecommendation1 &lt;&gt; """")), filter('Quotes-Check'!E442:F442, 'Quotes-Check'!E442:F442&lt;&gt;""glugluieie""),if(and(QuotesCheckJudge = ""segundo"", QuotesCheckChallengeRecommend"&amp;"ation2 &lt;&gt; """"), filter('Quotes-Check'!I442:J442, 'Quotes-Check'!I442:J442&lt;&gt;""glugluieie""),""""))"),"recommendation")</f>
        <v>recommendation</v>
      </c>
      <c r="F442" s="22" t="str">
        <f>IFERROR(__xludf.DUMMYFUNCTION("""COMPUTED_VALUE"""),"we use also SonarQube to help us on the automation")</f>
        <v>we use also SonarQube to help us on the automation</v>
      </c>
      <c r="G442" s="22" t="str">
        <f>if(QuotesCheckJudgeAbstract&lt;&gt;"",QuotesCheckJudgeAbstract,if(or(QuotesCheckJudge="",and(QuotesCheckJudge = "primeiro", QuotesCheckChallengeRecommendation1 &lt;&gt; "")), QuotesCheckAbstract1,if(and(QuotesCheckJudge = "segundo", QuotesCheckChallengeRecommendation2 &lt;&gt; ""), QuotesCheckAbstract2,"")))</f>
        <v>Use SonarQube to help on the automation.</v>
      </c>
    </row>
    <row r="443">
      <c r="A443" s="22">
        <f>IFERROR(__xludf.DUMMYFUNCTION("if(or(QuotesCheckJudge="""",and(QuotesCheckJudge = ""primeiro"", QuotesCheckChallengeRecommendation1 &lt;&gt; """"),and(QuotesCheckJudge = ""segundo"", QuotesCheckChallengeRecommendation2 &lt;&gt; """")), filter('Quotes-Check'!A443:D443, 'Quotes-Check'!A443:D443&lt;&gt;""g"&amp;"lugluieie""),"""")"),11.0)</f>
        <v>11</v>
      </c>
      <c r="B443" s="22">
        <f>IFERROR(__xludf.DUMMYFUNCTION("""COMPUTED_VALUE"""),9.0)</f>
        <v>9</v>
      </c>
      <c r="C443" s="2" t="str">
        <f>IFERROR(__xludf.DUMMYFUNCTION("""COMPUTED_VALUE"""),"R1 / R3")</f>
        <v>R1 / R3</v>
      </c>
      <c r="D443" s="22" t="str">
        <f>IFERROR(__xludf.DUMMYFUNCTION("""COMPUTED_VALUE"""),"Environment Setup")</f>
        <v>Environment Setup</v>
      </c>
      <c r="E443" s="46" t="str">
        <f>IFERROR(__xludf.DUMMYFUNCTION("if(or(QuotesCheckJudge="""",and(QuotesCheckJudge = ""primeiro"", QuotesCheckChallengeRecommendation1 &lt;&gt; """")), filter('Quotes-Check'!E443:F443, 'Quotes-Check'!E443:F443&lt;&gt;""glugluieie""),if(and(QuotesCheckJudge = ""segundo"", QuotesCheckChallengeRecommend"&amp;"ation2 &lt;&gt; """"), filter('Quotes-Check'!I443:J443, 'Quotes-Check'!I443:J443&lt;&gt;""glugluieie""),""""))"),"recommendation")</f>
        <v>recommendation</v>
      </c>
      <c r="F443" s="22" t="str">
        <f>IFERROR(__xludf.DUMMYFUNCTION("""COMPUTED_VALUE"""),"for performance testing we use JMeter")</f>
        <v>for performance testing we use JMeter</v>
      </c>
      <c r="G443" s="22" t="str">
        <f>if(QuotesCheckJudgeAbstract&lt;&gt;"",QuotesCheckJudgeAbstract,if(or(QuotesCheckJudge="",and(QuotesCheckJudge = "primeiro", QuotesCheckChallengeRecommendation1 &lt;&gt; "")), QuotesCheckAbstract1,if(and(QuotesCheckJudge = "segundo", QuotesCheckChallengeRecommendation2 &lt;&gt; ""), QuotesCheckAbstract2,"")))</f>
        <v>Use JMeter for performance testing.</v>
      </c>
    </row>
    <row r="444">
      <c r="A444" s="22">
        <f>IFERROR(__xludf.DUMMYFUNCTION("if(or(QuotesCheckJudge="""",and(QuotesCheckJudge = ""primeiro"", QuotesCheckChallengeRecommendation1 &lt;&gt; """"),and(QuotesCheckJudge = ""segundo"", QuotesCheckChallengeRecommendation2 &lt;&gt; """")), filter('Quotes-Check'!A444:D444, 'Quotes-Check'!A444:D444&lt;&gt;""g"&amp;"lugluieie""),"""")"),11.0)</f>
        <v>11</v>
      </c>
      <c r="B444" s="22">
        <f>IFERROR(__xludf.DUMMYFUNCTION("""COMPUTED_VALUE"""),9.0)</f>
        <v>9</v>
      </c>
      <c r="C444" s="2" t="str">
        <f>IFERROR(__xludf.DUMMYFUNCTION("""COMPUTED_VALUE"""),"R1 / R3")</f>
        <v>R1 / R3</v>
      </c>
      <c r="D444" s="22" t="str">
        <f>IFERROR(__xludf.DUMMYFUNCTION("""COMPUTED_VALUE"""),"Environment Setup")</f>
        <v>Environment Setup</v>
      </c>
      <c r="E444" s="46" t="str">
        <f>IFERROR(__xludf.DUMMYFUNCTION("if(or(QuotesCheckJudge="""",and(QuotesCheckJudge = ""primeiro"", QuotesCheckChallengeRecommendation1 &lt;&gt; """")), filter('Quotes-Check'!E444:F444, 'Quotes-Check'!E444:F444&lt;&gt;""glugluieie""),if(and(QuotesCheckJudge = ""segundo"", QuotesCheckChallengeRecommend"&amp;"ation2 &lt;&gt; """"), filter('Quotes-Check'!I444:J444, 'Quotes-Check'!I444:J444&lt;&gt;""glugluieie""),""""))"),"recommendation")</f>
        <v>recommendation</v>
      </c>
      <c r="F444" s="22" t="str">
        <f>IFERROR(__xludf.DUMMYFUNCTION("""COMPUTED_VALUE"""),"we also security platform like, uh, Zap")</f>
        <v>we also security platform like, uh, Zap</v>
      </c>
      <c r="G444" s="22" t="str">
        <f>if(QuotesCheckJudgeAbstract&lt;&gt;"",QuotesCheckJudgeAbstract,if(or(QuotesCheckJudge="",and(QuotesCheckJudge = "primeiro", QuotesCheckChallengeRecommendation1 &lt;&gt; "")), QuotesCheckAbstract1,if(and(QuotesCheckJudge = "segundo", QuotesCheckChallengeRecommendation2 &lt;&gt; ""), QuotesCheckAbstract2,"")))</f>
        <v>Use OWASP Zap as security platform.</v>
      </c>
    </row>
    <row r="445">
      <c r="A445" s="22">
        <f>IFERROR(__xludf.DUMMYFUNCTION("if(or(QuotesCheckJudge="""",and(QuotesCheckJudge = ""primeiro"", QuotesCheckChallengeRecommendation1 &lt;&gt; """"),and(QuotesCheckJudge = ""segundo"", QuotesCheckChallengeRecommendation2 &lt;&gt; """")), filter('Quotes-Check'!A445:D445, 'Quotes-Check'!A445:D445&lt;&gt;""g"&amp;"lugluieie""),"""")"),11.0)</f>
        <v>11</v>
      </c>
      <c r="B445" s="22">
        <f>IFERROR(__xludf.DUMMYFUNCTION("""COMPUTED_VALUE"""),9.0)</f>
        <v>9</v>
      </c>
      <c r="C445" s="2" t="str">
        <f>IFERROR(__xludf.DUMMYFUNCTION("""COMPUTED_VALUE"""),"R1 / R3")</f>
        <v>R1 / R3</v>
      </c>
      <c r="D445" s="22" t="str">
        <f>IFERROR(__xludf.DUMMYFUNCTION("""COMPUTED_VALUE"""),"Environment Setup")</f>
        <v>Environment Setup</v>
      </c>
      <c r="E445" s="46" t="str">
        <f>IFERROR(__xludf.DUMMYFUNCTION("if(or(QuotesCheckJudge="""",and(QuotesCheckJudge = ""primeiro"", QuotesCheckChallengeRecommendation1 &lt;&gt; """")), filter('Quotes-Check'!E445:F445, 'Quotes-Check'!E445:F445&lt;&gt;""glugluieie""),if(and(QuotesCheckJudge = ""segundo"", QuotesCheckChallengeRecommend"&amp;"ation2 &lt;&gt; """"), filter('Quotes-Check'!I445:J445, 'Quotes-Check'!I445:J445&lt;&gt;""glugluieie""),""""))"),"challenge")</f>
        <v>challenge</v>
      </c>
      <c r="F445" s="22" t="str">
        <f>IFERROR(__xludf.DUMMYFUNCTION("""COMPUTED_VALUE"""),"It can be also challenging for the, if you have the lab instructor with handling all tools.")</f>
        <v>It can be also challenging for the, if you have the lab instructor with handling all tools.</v>
      </c>
      <c r="G445" s="22" t="str">
        <f>if(QuotesCheckJudgeAbstract&lt;&gt;"",QuotesCheckJudgeAbstract,if(or(QuotesCheckJudge="",and(QuotesCheckJudge = "primeiro", QuotesCheckChallengeRecommendation1 &lt;&gt; "")), QuotesCheckAbstract1,if(and(QuotesCheckJudge = "segundo", QuotesCheckChallengeRecommendation2 &lt;&gt; ""), QuotesCheckAbstract2,"")))</f>
        <v>The lab instructor should handle many tools.</v>
      </c>
    </row>
    <row r="446">
      <c r="A446" s="22">
        <f>IFERROR(__xludf.DUMMYFUNCTION("if(or(QuotesCheckJudge="""",and(QuotesCheckJudge = ""primeiro"", QuotesCheckChallengeRecommendation1 &lt;&gt; """"),and(QuotesCheckJudge = ""segundo"", QuotesCheckChallengeRecommendation2 &lt;&gt; """")), filter('Quotes-Check'!A446:D446, 'Quotes-Check'!A446:D446&lt;&gt;""g"&amp;"lugluieie""),"""")"),11.0)</f>
        <v>11</v>
      </c>
      <c r="B446" s="22">
        <f>IFERROR(__xludf.DUMMYFUNCTION("""COMPUTED_VALUE"""),10.0)</f>
        <v>10</v>
      </c>
      <c r="C446" s="2" t="str">
        <f>IFERROR(__xludf.DUMMYFUNCTION("""COMPUTED_VALUE"""),"R1 / R3")</f>
        <v>R1 / R3</v>
      </c>
      <c r="D446" s="22" t="str">
        <f>IFERROR(__xludf.DUMMYFUNCTION("""COMPUTED_VALUE"""),"Tool / Technology")</f>
        <v>Tool / Technology</v>
      </c>
      <c r="E446" s="46" t="str">
        <f>IFERROR(__xludf.DUMMYFUNCTION("if(or(QuotesCheckJudge="""",and(QuotesCheckJudge = ""primeiro"", QuotesCheckChallengeRecommendation1 &lt;&gt; """")), filter('Quotes-Check'!E446:F446, 'Quotes-Check'!E446:F446&lt;&gt;""glugluieie""),if(and(QuotesCheckJudge = ""segundo"", QuotesCheckChallengeRecommend"&amp;"ation2 &lt;&gt; """"), filter('Quotes-Check'!I446:J446, 'Quotes-Check'!I446:J446&lt;&gt;""glugluieie""),""""))"),"recommendation")</f>
        <v>recommendation</v>
      </c>
      <c r="F446" s="22" t="str">
        <f>IFERROR(__xludf.DUMMYFUNCTION("""COMPUTED_VALUE"""),"So in terms of the tools, I feel better. I think one of the good aspect in DevOps is that there are a lot of tools [...] DevOps tools are available and where a lot of them are free and some of them are conscious of those. So a lot of them are free. And, a"&amp;"nd then, so, so far, I think it has been good. ")</f>
        <v>So in terms of the tools, I feel better. I think one of the good aspect in DevOps is that there are a lot of tools [...] DevOps tools are available and where a lot of them are free and some of them are conscious of those. So a lot of them are free. And, and then, so, so far, I think it has been good. </v>
      </c>
      <c r="G446" s="22" t="str">
        <f>if(QuotesCheckJudgeAbstract&lt;&gt;"",QuotesCheckJudgeAbstract,if(or(QuotesCheckJudge="",and(QuotesCheckJudge = "primeiro", QuotesCheckChallengeRecommendation1 &lt;&gt; "")), QuotesCheckAbstract1,if(and(QuotesCheckJudge = "segundo", QuotesCheckChallengeRecommendation2 &lt;&gt; ""), QuotesCheckAbstract2,"")))</f>
        <v>There are many free DevOps tools available.</v>
      </c>
    </row>
    <row r="447">
      <c r="A447" s="22">
        <f>IFERROR(__xludf.DUMMYFUNCTION("if(or(QuotesCheckJudge="""",and(QuotesCheckJudge = ""primeiro"", QuotesCheckChallengeRecommendation1 &lt;&gt; """"),and(QuotesCheckJudge = ""segundo"", QuotesCheckChallengeRecommendation2 &lt;&gt; """")), filter('Quotes-Check'!A447:D447, 'Quotes-Check'!A447:D447&lt;&gt;""g"&amp;"lugluieie""),"""")"),11.0)</f>
        <v>11</v>
      </c>
      <c r="B447" s="22">
        <f>IFERROR(__xludf.DUMMYFUNCTION("""COMPUTED_VALUE"""),10.0)</f>
        <v>10</v>
      </c>
      <c r="C447" s="2" t="str">
        <f>IFERROR(__xludf.DUMMYFUNCTION("""COMPUTED_VALUE"""),"R1 / R3")</f>
        <v>R1 / R3</v>
      </c>
      <c r="D447" s="22" t="str">
        <f>IFERROR(__xludf.DUMMYFUNCTION("""COMPUTED_VALUE"""),"Tool / Technology")</f>
        <v>Tool / Technology</v>
      </c>
      <c r="E447" s="46" t="str">
        <f>IFERROR(__xludf.DUMMYFUNCTION("if(or(QuotesCheckJudge="""",and(QuotesCheckJudge = ""primeiro"", QuotesCheckChallengeRecommendation1 &lt;&gt; """")), filter('Quotes-Check'!E447:F447, 'Quotes-Check'!E447:F447&lt;&gt;""glugluieie""),if(and(QuotesCheckJudge = ""segundo"", QuotesCheckChallengeRecommend"&amp;"ation2 &lt;&gt; """"), filter('Quotes-Check'!I447:J447, 'Quotes-Check'!I447:J447&lt;&gt;""glugluieie""),""""))"),"challenge")</f>
        <v>challenge</v>
      </c>
      <c r="F447" s="22" t="str">
        <f>IFERROR(__xludf.DUMMYFUNCTION("""COMPUTED_VALUE"""),"There there's a big focus on tools.")</f>
        <v>There there's a big focus on tools.</v>
      </c>
      <c r="G447" s="22" t="str">
        <f>if(QuotesCheckJudgeAbstract&lt;&gt;"",QuotesCheckJudgeAbstract,if(or(QuotesCheckJudge="",and(QuotesCheckJudge = "primeiro", QuotesCheckChallengeRecommendation1 &lt;&gt; "")), QuotesCheckAbstract1,if(and(QuotesCheckJudge = "segundo", QuotesCheckChallengeRecommendation2 &lt;&gt; ""), QuotesCheckAbstract2,"")))</f>
        <v>So many people only focus on the tools side from DevOps</v>
      </c>
    </row>
    <row r="448">
      <c r="A448" s="22">
        <f>IFERROR(__xludf.DUMMYFUNCTION("if(or(QuotesCheckJudge="""",and(QuotesCheckJudge = ""primeiro"", QuotesCheckChallengeRecommendation1 &lt;&gt; """"),and(QuotesCheckJudge = ""segundo"", QuotesCheckChallengeRecommendation2 &lt;&gt; """")), filter('Quotes-Check'!A448:D448, 'Quotes-Check'!A448:D448&lt;&gt;""g"&amp;"lugluieie""),"""")"),11.0)</f>
        <v>11</v>
      </c>
      <c r="B448" s="22">
        <f>IFERROR(__xludf.DUMMYFUNCTION("""COMPUTED_VALUE"""),11.0)</f>
        <v>11</v>
      </c>
      <c r="C448" s="2" t="str">
        <f>IFERROR(__xludf.DUMMYFUNCTION("""COMPUTED_VALUE"""),"R1 / R2")</f>
        <v>R1 / R2</v>
      </c>
      <c r="D448" s="22" t="str">
        <f>IFERROR(__xludf.DUMMYFUNCTION("""COMPUTED_VALUE"""),"Tool / Technology")</f>
        <v>Tool / Technology</v>
      </c>
      <c r="E448" s="46" t="str">
        <f>IFERROR(__xludf.DUMMYFUNCTION("if(or(QuotesCheckJudge="""",and(QuotesCheckJudge = ""primeiro"", QuotesCheckChallengeRecommendation1 &lt;&gt; """")), filter('Quotes-Check'!E448:F448, 'Quotes-Check'!E448:F448&lt;&gt;""glugluieie""),if(and(QuotesCheckJudge = ""segundo"", QuotesCheckChallengeRecommend"&amp;"ation2 &lt;&gt; """"), filter('Quotes-Check'!I448:J448, 'Quotes-Check'!I448:J448&lt;&gt;""glugluieie""),""""))"),"recommendation")</f>
        <v>recommendation</v>
      </c>
      <c r="F448" s="22" t="str">
        <f>IFERROR(__xludf.DUMMYFUNCTION("""COMPUTED_VALUE"""),"We use a very specific language. This is to just make it easy. I mean, sometimes we give it a bit too flexible. So right now we use a Java and Javascript because we are targeting web application. But, uh, when we students are implementing, uh, new feature"&amp;"s, so we give them the flexibility. We say, okay, parents, if you want to implement in Python, you can do it as long as you can wrap it in, uh, integrated in the new code")</f>
        <v>We use a very specific language. This is to just make it easy. I mean, sometimes we give it a bit too flexible. So right now we use a Java and Javascript because we are targeting web application. But, uh, when we students are implementing, uh, new features, so we give them the flexibility. We say, okay, parents, if you want to implement in Python, you can do it as long as you can wrap it in, uh, integrated in the new code</v>
      </c>
      <c r="G448" s="22" t="str">
        <f>if(QuotesCheckJudgeAbstract&lt;&gt;"",QuotesCheckJudgeAbstract,if(or(QuotesCheckJudge="",and(QuotesCheckJudge = "primeiro", QuotesCheckChallengeRecommendation1 &lt;&gt; "")), QuotesCheckAbstract1,if(and(QuotesCheckJudge = "segundo", QuotesCheckChallengeRecommendation2 &lt;&gt; ""), QuotesCheckAbstract2,"")))</f>
        <v>It is important to give flexibility to students to develop their solution although some things are determined</v>
      </c>
    </row>
    <row r="449">
      <c r="A449" s="22">
        <f>IFERROR(__xludf.DUMMYFUNCTION("if(or(QuotesCheckJudge="""",and(QuotesCheckJudge = ""primeiro"", QuotesCheckChallengeRecommendation1 &lt;&gt; """"),and(QuotesCheckJudge = ""segundo"", QuotesCheckChallengeRecommendation2 &lt;&gt; """")), filter('Quotes-Check'!A449:D449, 'Quotes-Check'!A449:D449&lt;&gt;""g"&amp;"lugluieie""),"""")"),11.0)</f>
        <v>11</v>
      </c>
      <c r="B449" s="22">
        <f>IFERROR(__xludf.DUMMYFUNCTION("""COMPUTED_VALUE"""),11.0)</f>
        <v>11</v>
      </c>
      <c r="C449" s="2" t="str">
        <f>IFERROR(__xludf.DUMMYFUNCTION("""COMPUTED_VALUE"""),"R1 / R2")</f>
        <v>R1 / R2</v>
      </c>
      <c r="D449" s="22" t="str">
        <f>IFERROR(__xludf.DUMMYFUNCTION("""COMPUTED_VALUE"""),"Tool / Technology")</f>
        <v>Tool / Technology</v>
      </c>
      <c r="E449" s="46" t="str">
        <f>IFERROR(__xludf.DUMMYFUNCTION("if(or(QuotesCheckJudge="""",and(QuotesCheckJudge = ""primeiro"", QuotesCheckChallengeRecommendation1 &lt;&gt; """")), filter('Quotes-Check'!E449:F449, 'Quotes-Check'!E449:F449&lt;&gt;""glugluieie""),if(and(QuotesCheckJudge = ""segundo"", QuotesCheckChallengeRecommend"&amp;"ation2 &lt;&gt; """"), filter('Quotes-Check'!I449:J449, 'Quotes-Check'!I449:J449&lt;&gt;""glugluieie""),""""))"),"recommendation")</f>
        <v>recommendation</v>
      </c>
      <c r="F449" s="22" t="str">
        <f>IFERROR(__xludf.DUMMYFUNCTION("""COMPUTED_VALUE""")," We give some kind of rough summary of what the application is supposed to do.")</f>
        <v> We give some kind of rough summary of what the application is supposed to do.</v>
      </c>
      <c r="G449" s="22" t="str">
        <f>if(QuotesCheckJudgeAbstract&lt;&gt;"",QuotesCheckJudgeAbstract,if(or(QuotesCheckJudge="",and(QuotesCheckJudge = "primeiro", QuotesCheckChallengeRecommendation1 &lt;&gt; "")), QuotesCheckAbstract1,if(and(QuotesCheckJudge = "segundo", QuotesCheckChallengeRecommendation2 &lt;&gt; ""), QuotesCheckAbstract2,"")))</f>
        <v>Give students a rough summary of what their application are supposed to do</v>
      </c>
    </row>
    <row r="450">
      <c r="A450" s="22">
        <f>IFERROR(__xludf.DUMMYFUNCTION("if(or(QuotesCheckJudge="""",and(QuotesCheckJudge = ""primeiro"", QuotesCheckChallengeRecommendation1 &lt;&gt; """"),and(QuotesCheckJudge = ""segundo"", QuotesCheckChallengeRecommendation2 &lt;&gt; """")), filter('Quotes-Check'!A450:D450, 'Quotes-Check'!A450:D450&lt;&gt;""g"&amp;"lugluieie""),"""")"),11.0)</f>
        <v>11</v>
      </c>
      <c r="B450" s="22">
        <f>IFERROR(__xludf.DUMMYFUNCTION("""COMPUTED_VALUE"""),12.0)</f>
        <v>12</v>
      </c>
      <c r="C450" s="2" t="str">
        <f>IFERROR(__xludf.DUMMYFUNCTION("""COMPUTED_VALUE"""),"R2 / R3")</f>
        <v>R2 / R3</v>
      </c>
      <c r="D450" s="22" t="str">
        <f>IFERROR(__xludf.DUMMYFUNCTION("""COMPUTED_VALUE"""),"DevOps Concepts")</f>
        <v>DevOps Concepts</v>
      </c>
      <c r="E450" s="46" t="str">
        <f>IFERROR(__xludf.DUMMYFUNCTION("if(or(QuotesCheckJudge="""",and(QuotesCheckJudge = ""primeiro"", QuotesCheckChallengeRecommendation1 &lt;&gt; """")), filter('Quotes-Check'!E450:F450, 'Quotes-Check'!E450:F450&lt;&gt;""glugluieie""),if(and(QuotesCheckJudge = ""segundo"", QuotesCheckChallengeRecommend"&amp;"ation2 &lt;&gt; """"), filter('Quotes-Check'!I450:J450, 'Quotes-Check'!I450:J450&lt;&gt;""glugluieie""),""""))"),"challenge")</f>
        <v>challenge</v>
      </c>
      <c r="F450" s="22" t="str">
        <f>IFERROR(__xludf.DUMMYFUNCTION("""COMPUTED_VALUE"""),"I introduced the concept of them speaking about continuous integration, continuous, and delivery and continuous deployment. But, uh, in, in practice doing the remaining stage in the lab is very challenging because we don't have enough time because it's th"&amp;"ree months.")</f>
        <v>I introduced the concept of them speaking about continuous integration, continuous, and delivery and continuous deployment. But, uh, in, in practice doing the remaining stage in the lab is very challenging because we don't have enough time because it's three months.</v>
      </c>
      <c r="G450" s="22" t="str">
        <f>if(QuotesCheckJudgeAbstract&lt;&gt;"",QuotesCheckJudgeAbstract,if(or(QuotesCheckJudge="",and(QuotesCheckJudge = "primeiro", QuotesCheckChallengeRecommendation1 &lt;&gt; "")), QuotesCheckAbstract1,if(and(QuotesCheckJudge = "segundo", QuotesCheckChallengeRecommendation2 &lt;&gt; ""), QuotesCheckAbstract2,"")))</f>
        <v>Labs of continuous integration and continous delivery are challeging because there is not enough time in three months.</v>
      </c>
    </row>
    <row r="451">
      <c r="A451" s="22">
        <f>IFERROR(__xludf.DUMMYFUNCTION("if(or(QuotesCheckJudge="""",and(QuotesCheckJudge = ""primeiro"", QuotesCheckChallengeRecommendation1 &lt;&gt; """"),and(QuotesCheckJudge = ""segundo"", QuotesCheckChallengeRecommendation2 &lt;&gt; """")), filter('Quotes-Check'!A451:D451, 'Quotes-Check'!A451:D451&lt;&gt;""g"&amp;"lugluieie""),"""")"),11.0)</f>
        <v>11</v>
      </c>
      <c r="B451" s="22">
        <f>IFERROR(__xludf.DUMMYFUNCTION("""COMPUTED_VALUE"""),12.0)</f>
        <v>12</v>
      </c>
      <c r="C451" s="2" t="str">
        <f>IFERROR(__xludf.DUMMYFUNCTION("""COMPUTED_VALUE"""),"R2 / R3")</f>
        <v>R2 / R3</v>
      </c>
      <c r="D451" s="22" t="str">
        <f>IFERROR(__xludf.DUMMYFUNCTION("""COMPUTED_VALUE"""),"DevOps Concepts")</f>
        <v>DevOps Concepts</v>
      </c>
      <c r="E451" s="46" t="str">
        <f>IFERROR(__xludf.DUMMYFUNCTION("if(or(QuotesCheckJudge="""",and(QuotesCheckJudge = ""primeiro"", QuotesCheckChallengeRecommendation1 &lt;&gt; """")), filter('Quotes-Check'!E451:F451, 'Quotes-Check'!E451:F451&lt;&gt;""glugluieie""),if(and(QuotesCheckJudge = ""segundo"", QuotesCheckChallengeRecommend"&amp;"ation2 &lt;&gt; """"), filter('Quotes-Check'!I451:J451, 'Quotes-Check'!I451:J451&lt;&gt;""glugluieie""),""""))"),"challenge")</f>
        <v>challenge</v>
      </c>
      <c r="F451" s="22" t="str">
        <f>IFERROR(__xludf.DUMMYFUNCTION("""COMPUTED_VALUE"""),"And as I said, we, students are doing other things. So this means we are limited in what we can ask them.")</f>
        <v>And as I said, we, students are doing other things. So this means we are limited in what we can ask them.</v>
      </c>
      <c r="G451" s="22" t="str">
        <f>if(QuotesCheckJudgeAbstract&lt;&gt;"",QuotesCheckJudgeAbstract,if(or(QuotesCheckJudge="",and(QuotesCheckJudge = "primeiro", QuotesCheckChallengeRecommendation1 &lt;&gt; "")), QuotesCheckAbstract1,if(and(QuotesCheckJudge = "segundo", QuotesCheckChallengeRecommendation2 &lt;&gt; ""), QuotesCheckAbstract2,"")))</f>
        <v>There is a limitation of what is appropriate to ask the students because they are doing a lot of other activities.</v>
      </c>
    </row>
    <row r="452">
      <c r="A452" s="22">
        <f>IFERROR(__xludf.DUMMYFUNCTION("if(or(QuotesCheckJudge="""",and(QuotesCheckJudge = ""primeiro"", QuotesCheckChallengeRecommendation1 &lt;&gt; """"),and(QuotesCheckJudge = ""segundo"", QuotesCheckChallengeRecommendation2 &lt;&gt; """")), filter('Quotes-Check'!A452:D452, 'Quotes-Check'!A452:D452&lt;&gt;""g"&amp;"lugluieie""),"""")"),11.0)</f>
        <v>11</v>
      </c>
      <c r="B452" s="22">
        <f>IFERROR(__xludf.DUMMYFUNCTION("""COMPUTED_VALUE"""),13.0)</f>
        <v>13</v>
      </c>
      <c r="C452" s="2" t="str">
        <f>IFERROR(__xludf.DUMMYFUNCTION("""COMPUTED_VALUE"""),"R1 / R3")</f>
        <v>R1 / R3</v>
      </c>
      <c r="D452" s="22" t="str">
        <f>IFERROR(__xludf.DUMMYFUNCTION("""COMPUTED_VALUE"""),"Class Preparation")</f>
        <v>Class Preparation</v>
      </c>
      <c r="E452" s="46" t="str">
        <f>IFERROR(__xludf.DUMMYFUNCTION("if(or(QuotesCheckJudge="""",and(QuotesCheckJudge = ""primeiro"", QuotesCheckChallengeRecommendation1 &lt;&gt; """")), filter('Quotes-Check'!E452:F452, 'Quotes-Check'!E452:F452&lt;&gt;""glugluieie""),if(and(QuotesCheckJudge = ""segundo"", QuotesCheckChallengeRecommend"&amp;"ation2 &lt;&gt; """"), filter('Quotes-Check'!I452:J452, 'Quotes-Check'!I452:J452&lt;&gt;""glugluieie""),""""))"),"challenge")</f>
        <v>challenge</v>
      </c>
      <c r="F452" s="22" t="str">
        <f>IFERROR(__xludf.DUMMYFUNCTION("""COMPUTED_VALUE"""),"the challenge for us is getting an application, which is interesting [...] you know, like they can use. ")</f>
        <v>the challenge for us is getting an application, which is interesting [...] you know, like they can use. </v>
      </c>
      <c r="G452" s="22" t="str">
        <f>if(QuotesCheckJudgeAbstract&lt;&gt;"",QuotesCheckJudgeAbstract,if(or(QuotesCheckJudge="",and(QuotesCheckJudge = "primeiro", QuotesCheckChallengeRecommendation1 &lt;&gt; "")), QuotesCheckAbstract1,if(and(QuotesCheckJudge = "segundo", QuotesCheckChallengeRecommendation2 &lt;&gt; ""), QuotesCheckAbstract2,"")))</f>
        <v>It is difficult to find an interesting sample application that students use.</v>
      </c>
    </row>
    <row r="453">
      <c r="A453" s="22">
        <f>IFERROR(__xludf.DUMMYFUNCTION("if(or(QuotesCheckJudge="""",and(QuotesCheckJudge = ""primeiro"", QuotesCheckChallengeRecommendation1 &lt;&gt; """"),and(QuotesCheckJudge = ""segundo"", QuotesCheckChallengeRecommendation2 &lt;&gt; """")), filter('Quotes-Check'!A453:D453, 'Quotes-Check'!A453:D453&lt;&gt;""g"&amp;"lugluieie""),"""")"),11.0)</f>
        <v>11</v>
      </c>
      <c r="B453" s="22">
        <f>IFERROR(__xludf.DUMMYFUNCTION("""COMPUTED_VALUE"""),14.0)</f>
        <v>14</v>
      </c>
      <c r="C453" s="2" t="str">
        <f>IFERROR(__xludf.DUMMYFUNCTION("""COMPUTED_VALUE"""),"R1 / R3")</f>
        <v>R1 / R3</v>
      </c>
      <c r="D453" s="22" t="str">
        <f>IFERROR(__xludf.DUMMYFUNCTION("""COMPUTED_VALUE"""),"Class Preparation")</f>
        <v>Class Preparation</v>
      </c>
      <c r="E453" s="46" t="str">
        <f>IFERROR(__xludf.DUMMYFUNCTION("if(or(QuotesCheckJudge="""",and(QuotesCheckJudge = ""primeiro"", QuotesCheckChallengeRecommendation1 &lt;&gt; """")), filter('Quotes-Check'!E453:F453, 'Quotes-Check'!E453:F453&lt;&gt;""glugluieie""),if(and(QuotesCheckJudge = ""segundo"", QuotesCheckChallengeRecommend"&amp;"ation2 &lt;&gt; """"), filter('Quotes-Check'!I453:J453, 'Quotes-Check'!I453:J453&lt;&gt;""glugluieie""),""""))"),"challenge")</f>
        <v>challenge</v>
      </c>
      <c r="F453" s="22" t="str">
        <f>IFERROR(__xludf.DUMMYFUNCTION("""COMPUTED_VALUE"""),"That's one of the challenge that I find in preparing proper courses, finding and implementing an application, creating some issues in it, some bugs in it.")</f>
        <v>That's one of the challenge that I find in preparing proper courses, finding and implementing an application, creating some issues in it, some bugs in it.</v>
      </c>
      <c r="G453" s="22" t="str">
        <f>if(QuotesCheckJudgeAbstract&lt;&gt;"",QuotesCheckJudgeAbstract,if(or(QuotesCheckJudge="",and(QuotesCheckJudge = "primeiro", QuotesCheckChallengeRecommendation1 &lt;&gt; "")), QuotesCheckAbstract1,if(and(QuotesCheckJudge = "segundo", QuotesCheckChallengeRecommendation2 &lt;&gt; ""), QuotesCheckAbstract2,"")))</f>
        <v>It is laborious to prepare the exercise that the students will work.</v>
      </c>
    </row>
    <row r="454">
      <c r="A454" s="22">
        <f>IFERROR(__xludf.DUMMYFUNCTION("if(or(QuotesCheckJudge="""",and(QuotesCheckJudge = ""primeiro"", QuotesCheckChallengeRecommendation1 &lt;&gt; """"),and(QuotesCheckJudge = ""segundo"", QuotesCheckChallengeRecommendation2 &lt;&gt; """")), filter('Quotes-Check'!A454:D454, 'Quotes-Check'!A454:D454&lt;&gt;""g"&amp;"lugluieie""),"""")"),11.0)</f>
        <v>11</v>
      </c>
      <c r="B454" s="22">
        <f>IFERROR(__xludf.DUMMYFUNCTION("""COMPUTED_VALUE"""),14.0)</f>
        <v>14</v>
      </c>
      <c r="C454" s="2" t="str">
        <f>IFERROR(__xludf.DUMMYFUNCTION("""COMPUTED_VALUE"""),"R1 / R3")</f>
        <v>R1 / R3</v>
      </c>
      <c r="D454" s="22" t="str">
        <f>IFERROR(__xludf.DUMMYFUNCTION("""COMPUTED_VALUE"""),"Class Preparation")</f>
        <v>Class Preparation</v>
      </c>
      <c r="E454" s="46" t="str">
        <f>IFERROR(__xludf.DUMMYFUNCTION("if(or(QuotesCheckJudge="""",and(QuotesCheckJudge = ""primeiro"", QuotesCheckChallengeRecommendation1 &lt;&gt; """")), filter('Quotes-Check'!E454:F454, 'Quotes-Check'!E454:F454&lt;&gt;""glugluieie""),if(and(QuotesCheckJudge = ""segundo"", QuotesCheckChallengeRecommend"&amp;"ation2 &lt;&gt; """"), filter('Quotes-Check'!I454:J454, 'Quotes-Check'!I454:J454&lt;&gt;""glugluieie""),""""))"),"recommendation")</f>
        <v>recommendation</v>
      </c>
      <c r="F454" s="22" t="str">
        <f>IFERROR(__xludf.DUMMYFUNCTION("""COMPUTED_VALUE"""),"Quite often, what we do is have someone in our team to implement the application. ")</f>
        <v>Quite often, what we do is have someone in our team to implement the application. </v>
      </c>
      <c r="G454" s="22" t="str">
        <f>if(QuotesCheckJudgeAbstract&lt;&gt;"",QuotesCheckJudgeAbstract,if(or(QuotesCheckJudge="",and(QuotesCheckJudge = "primeiro", QuotesCheckChallengeRecommendation1 &lt;&gt; "")), QuotesCheckAbstract1,if(and(QuotesCheckJudge = "segundo", QuotesCheckChallengeRecommendation2 &lt;&gt; ""), QuotesCheckAbstract2,"")))</f>
        <v>Someone from teacher staff implements the sample application.</v>
      </c>
    </row>
    <row r="455">
      <c r="A455" s="22">
        <f>IFERROR(__xludf.DUMMYFUNCTION("if(or(QuotesCheckJudge="""",and(QuotesCheckJudge = ""primeiro"", QuotesCheckChallengeRecommendation1 &lt;&gt; """"),and(QuotesCheckJudge = ""segundo"", QuotesCheckChallengeRecommendation2 &lt;&gt; """")), filter('Quotes-Check'!A455:D455, 'Quotes-Check'!A455:D455&lt;&gt;""g"&amp;"lugluieie""),"""")"),11.0)</f>
        <v>11</v>
      </c>
      <c r="B455" s="22">
        <f>IFERROR(__xludf.DUMMYFUNCTION("""COMPUTED_VALUE"""),16.0)</f>
        <v>16</v>
      </c>
      <c r="C455" s="2" t="str">
        <f>IFERROR(__xludf.DUMMYFUNCTION("""COMPUTED_VALUE"""),"R1 / R2")</f>
        <v>R1 / R2</v>
      </c>
      <c r="D455" s="22" t="str">
        <f>IFERROR(__xludf.DUMMYFUNCTION("""COMPUTED_VALUE"""),"Pedagogy")</f>
        <v>Pedagogy</v>
      </c>
      <c r="E455" s="46" t="str">
        <f>IFERROR(__xludf.DUMMYFUNCTION("if(or(QuotesCheckJudge="""",and(QuotesCheckJudge = ""primeiro"", QuotesCheckChallengeRecommendation1 &lt;&gt; """")), filter('Quotes-Check'!E455:F455, 'Quotes-Check'!E455:F455&lt;&gt;""glugluieie""),if(and(QuotesCheckJudge = ""segundo"", QuotesCheckChallengeRecommend"&amp;"ation2 &lt;&gt; """"), filter('Quotes-Check'!I455:J455, 'Quotes-Check'!I455:J455&lt;&gt;""glugluieie""),""""))"),"recommendation")</f>
        <v>recommendation</v>
      </c>
      <c r="F455" s="22" t="str">
        <f>IFERROR(__xludf.DUMMYFUNCTION("""COMPUTED_VALUE"""),"so in the course I split, but so about 80% of presentation is just a regular, uh, concepts and so on and about 20% is about concrete applications ")</f>
        <v>so in the course I split, but so about 80% of presentation is just a regular, uh, concepts and so on and about 20% is about concrete applications </v>
      </c>
      <c r="G455" s="22" t="str">
        <f>if(QuotesCheckJudgeAbstract&lt;&gt;"",QuotesCheckJudgeAbstract,if(or(QuotesCheckJudge="",and(QuotesCheckJudge = "primeiro", QuotesCheckChallengeRecommendation1 &lt;&gt; "")), QuotesCheckAbstract1,if(and(QuotesCheckJudge = "segundo", QuotesCheckChallengeRecommendation2 &lt;&gt; ""), QuotesCheckAbstract2,"")))</f>
        <v>Divide the course into 80% of concepts and 20% of applications</v>
      </c>
    </row>
    <row r="456">
      <c r="A456" s="22">
        <f>IFERROR(__xludf.DUMMYFUNCTION("if(or(QuotesCheckJudge="""",and(QuotesCheckJudge = ""primeiro"", QuotesCheckChallengeRecommendation1 &lt;&gt; """"),and(QuotesCheckJudge = ""segundo"", QuotesCheckChallengeRecommendation2 &lt;&gt; """")), filter('Quotes-Check'!A456:D456, 'Quotes-Check'!A456:D456&lt;&gt;""g"&amp;"lugluieie""),"""")"),11.0)</f>
        <v>11</v>
      </c>
      <c r="B456" s="22">
        <f>IFERROR(__xludf.DUMMYFUNCTION("""COMPUTED_VALUE"""),17.0)</f>
        <v>17</v>
      </c>
      <c r="C456" s="2" t="str">
        <f>IFERROR(__xludf.DUMMYFUNCTION("""COMPUTED_VALUE"""),"R2 / R3")</f>
        <v>R2 / R3</v>
      </c>
      <c r="D456" s="22" t="str">
        <f>IFERROR(__xludf.DUMMYFUNCTION("""COMPUTED_VALUE"""),"Assessment")</f>
        <v>Assessment</v>
      </c>
      <c r="E456" s="46" t="str">
        <f>IFERROR(__xludf.DUMMYFUNCTION("if(or(QuotesCheckJudge="""",and(QuotesCheckJudge = ""primeiro"", QuotesCheckChallengeRecommendation1 &lt;&gt; """")), filter('Quotes-Check'!E456:F456, 'Quotes-Check'!E456:F456&lt;&gt;""glugluieie""),if(and(QuotesCheckJudge = ""segundo"", QuotesCheckChallengeRecommend"&amp;"ation2 &lt;&gt; """"), filter('Quotes-Check'!I456:J456, 'Quotes-Check'!I456:J456&lt;&gt;""glugluieie""),""""))"),"recommendation")</f>
        <v>recommendation</v>
      </c>
      <c r="F456" s="22" t="str">
        <f>IFERROR(__xludf.DUMMYFUNCTION("""COMPUTED_VALUE"""),"We presented as a lab project [...] So the students start initially by defining the requirements and then after they start a secondary pipeline, and then they do at least a couple of weeks iterations cycle and develop cycle. And then after they go to do p"&amp;"erformance testing to do a security testing and all those kinds of things, and for each of these deliverables, we submit something, every report. And, and, uh, so that's very easy to map because it's a very practical. ")</f>
        <v>We presented as a lab project [...] So the students start initially by defining the requirements and then after they start a secondary pipeline, and then they do at least a couple of weeks iterations cycle and develop cycle. And then after they go to do performance testing to do a security testing and all those kinds of things, and for each of these deliverables, we submit something, every report. And, and, uh, so that's very easy to map because it's a very practical. </v>
      </c>
      <c r="G456" s="22" t="str">
        <f>if(QuotesCheckJudgeAbstract&lt;&gt;"",QuotesCheckJudgeAbstract,if(or(QuotesCheckJudge="",and(QuotesCheckJudge = "primeiro", QuotesCheckChallengeRecommendation1 &lt;&gt; "")), QuotesCheckAbstract1,if(and(QuotesCheckJudge = "segundo", QuotesCheckChallengeRecommendation2 &lt;&gt; ""), QuotesCheckAbstract2,"")))</f>
        <v>We presented as a lab project with five deliverables. The students start by defining the requirements and then after they start a secondary pipeline, and then they do at least a couple of weeks iterations cycle and develop cycle. And then after they go to do performance testing to do a security testing, and for each of these deliverables, we submit something, every report.</v>
      </c>
    </row>
    <row r="457">
      <c r="A457" s="22">
        <f>IFERROR(__xludf.DUMMYFUNCTION("if(or(QuotesCheckJudge="""",and(QuotesCheckJudge = ""primeiro"", QuotesCheckChallengeRecommendation1 &lt;&gt; """"),and(QuotesCheckJudge = ""segundo"", QuotesCheckChallengeRecommendation2 &lt;&gt; """")), filter('Quotes-Check'!A457:D457, 'Quotes-Check'!A457:D457&lt;&gt;""g"&amp;"lugluieie""),"""")"),11.0)</f>
        <v>11</v>
      </c>
      <c r="B457" s="22">
        <f>IFERROR(__xludf.DUMMYFUNCTION("""COMPUTED_VALUE"""),18.0)</f>
        <v>18</v>
      </c>
      <c r="C457" s="2" t="str">
        <f>IFERROR(__xludf.DUMMYFUNCTION("""COMPUTED_VALUE"""),"R1 / R3")</f>
        <v>R1 / R3</v>
      </c>
      <c r="D457" s="22" t="str">
        <f>IFERROR(__xludf.DUMMYFUNCTION("""COMPUTED_VALUE"""),"Assessment")</f>
        <v>Assessment</v>
      </c>
      <c r="E457" s="46" t="str">
        <f>IFERROR(__xludf.DUMMYFUNCTION("if(or(QuotesCheckJudge="""",and(QuotesCheckJudge = ""primeiro"", QuotesCheckChallengeRecommendation1 &lt;&gt; """")), filter('Quotes-Check'!E457:F457, 'Quotes-Check'!E457:F457&lt;&gt;""glugluieie""),if(and(QuotesCheckJudge = ""segundo"", QuotesCheckChallengeRecommend"&amp;"ation2 &lt;&gt; """"), filter('Quotes-Check'!I457:J457, 'Quotes-Check'!I457:J457&lt;&gt;""glugluieie""),""""))"),"recommendation")</f>
        <v>recommendation</v>
      </c>
      <c r="F457" s="22" t="str">
        <f>IFERROR(__xludf.DUMMYFUNCTION("""COMPUTED_VALUE"""),"most of the time to give a problem solving questions where I put a problem and say, okay, and push a student to critically think. ... , I put a problem and then we'll come up with the solutions for the problem. And I haven't been able to find a good way t"&amp;"o do that with DevOps, in, uh, in terms of assessment.")</f>
        <v>most of the time to give a problem solving questions where I put a problem and say, okay, and push a student to critically think. ... , I put a problem and then we'll come up with the solutions for the problem. And I haven't been able to find a good way to do that with DevOps, in, uh, in terms of assessment.</v>
      </c>
      <c r="G457" s="22" t="str">
        <f>if(QuotesCheckJudgeAbstract&lt;&gt;"",QuotesCheckJudgeAbstract,if(or(QuotesCheckJudge="",and(QuotesCheckJudge = "primeiro", QuotesCheckChallengeRecommendation1 &lt;&gt; "")), QuotesCheckAbstract1,if(and(QuotesCheckJudge = "segundo", QuotesCheckChallengeRecommendation2 &lt;&gt; ""), QuotesCheckAbstract2,"")))</f>
        <v>Use problem solving questions in DevOps assessment. It pushs student to critically think.</v>
      </c>
    </row>
    <row r="458">
      <c r="A458" s="22">
        <f>IFERROR(__xludf.DUMMYFUNCTION("if(or(QuotesCheckJudge="""",and(QuotesCheckJudge = ""primeiro"", QuotesCheckChallengeRecommendation1 &lt;&gt; """"),and(QuotesCheckJudge = ""segundo"", QuotesCheckChallengeRecommendation2 &lt;&gt; """")), filter('Quotes-Check'!A458:D458, 'Quotes-Check'!A458:D458&lt;&gt;""g"&amp;"lugluieie""),"""")"),11.0)</f>
        <v>11</v>
      </c>
      <c r="B458" s="22">
        <f>IFERROR(__xludf.DUMMYFUNCTION("""COMPUTED_VALUE"""),19.0)</f>
        <v>19</v>
      </c>
      <c r="C458" s="2" t="str">
        <f>IFERROR(__xludf.DUMMYFUNCTION("""COMPUTED_VALUE"""),"R1 / R3")</f>
        <v>R1 / R3</v>
      </c>
      <c r="D458" s="22" t="str">
        <f>IFERROR(__xludf.DUMMYFUNCTION("""COMPUTED_VALUE"""),"Curriculum")</f>
        <v>Curriculum</v>
      </c>
      <c r="E458" s="46" t="str">
        <f>IFERROR(__xludf.DUMMYFUNCTION("if(or(QuotesCheckJudge="""",and(QuotesCheckJudge = ""primeiro"", QuotesCheckChallengeRecommendation1 &lt;&gt; """")), filter('Quotes-Check'!E458:F458, 'Quotes-Check'!E458:F458&lt;&gt;""glugluieie""),if(and(QuotesCheckJudge = ""segundo"", QuotesCheckChallengeRecommend"&amp;"ation2 &lt;&gt; """"), filter('Quotes-Check'!I458:J458, 'Quotes-Check'!I458:J458&lt;&gt;""glugluieie""),""""))"),"challenge")</f>
        <v>challenge</v>
      </c>
      <c r="F458" s="22" t="str">
        <f>IFERROR(__xludf.DUMMYFUNCTION("""COMPUTED_VALUE"""),"I use a couple of books, um, and, uh, as I said, to to be able to own, um, they cover many different topics. And so I tried to use one over, two picks in it. [...] I still think that, uh, the idea scenario would have been able, will have been, to be able "&amp;"to do a situation where I can take several topics in the book and then cover them from the beginning to them. But, uh, I haven't been able to find that possible yet. ")</f>
        <v>I use a couple of books, um, and, uh, as I said, to to be able to own, um, they cover many different topics. And so I tried to use one over, two picks in it. [...] I still think that, uh, the idea scenario would have been able, will have been, to be able to do a situation where I can take several topics in the book and then cover them from the beginning to them. But, uh, I haven't been able to find that possible yet. </v>
      </c>
      <c r="G458" s="22" t="str">
        <f>if(QuotesCheckJudgeAbstract&lt;&gt;"",QuotesCheckJudgeAbstract,if(or(QuotesCheckJudge="",and(QuotesCheckJudge = "primeiro", QuotesCheckChallengeRecommendation1 &lt;&gt; "")), QuotesCheckAbstract1,if(and(QuotesCheckJudge = "segundo", QuotesCheckChallengeRecommendation2 &lt;&gt; ""), QuotesCheckAbstract2,"")))</f>
        <v>It is necessary to use multiple books because they do not cover all concepts.</v>
      </c>
    </row>
    <row r="459">
      <c r="A459" s="22">
        <f>IFERROR(__xludf.DUMMYFUNCTION("if(or(QuotesCheckJudge="""",and(QuotesCheckJudge = ""primeiro"", QuotesCheckChallengeRecommendation1 &lt;&gt; """"),and(QuotesCheckJudge = ""segundo"", QuotesCheckChallengeRecommendation2 &lt;&gt; """")), filter('Quotes-Check'!A459:D459, 'Quotes-Check'!A459:D459&lt;&gt;""g"&amp;"lugluieie""),"""")"),11.0)</f>
        <v>11</v>
      </c>
      <c r="B459" s="22">
        <f>IFERROR(__xludf.DUMMYFUNCTION("""COMPUTED_VALUE"""),19.0)</f>
        <v>19</v>
      </c>
      <c r="C459" s="2" t="str">
        <f>IFERROR(__xludf.DUMMYFUNCTION("""COMPUTED_VALUE"""),"R1 / R3")</f>
        <v>R1 / R3</v>
      </c>
      <c r="D459" s="22" t="str">
        <f>IFERROR(__xludf.DUMMYFUNCTION("""COMPUTED_VALUE"""),"Curriculum")</f>
        <v>Curriculum</v>
      </c>
      <c r="E459" s="46" t="str">
        <f>IFERROR(__xludf.DUMMYFUNCTION("if(or(QuotesCheckJudge="""",and(QuotesCheckJudge = ""primeiro"", QuotesCheckChallengeRecommendation1 &lt;&gt; """")), filter('Quotes-Check'!E459:F459, 'Quotes-Check'!E459:F459&lt;&gt;""glugluieie""),if(and(QuotesCheckJudge = ""segundo"", QuotesCheckChallengeRecommend"&amp;"ation2 &lt;&gt; """"), filter('Quotes-Check'!I459:J459, 'Quotes-Check'!I459:J459&lt;&gt;""glugluieie""),""""))"),"challenge")</f>
        <v>challenge</v>
      </c>
      <c r="F459" s="22" t="str">
        <f>IFERROR(__xludf.DUMMYFUNCTION("""COMPUTED_VALUE"""),"your books are written mostly with the different projects in mind. Like they are thinking about people working in the company, but not thinking about students who are learning. And this makes it very difficult to design a DevOps curriculum where you cover"&amp;" a hundred percent DevOps in one course.")</f>
        <v>your books are written mostly with the different projects in mind. Like they are thinking about people working in the company, but not thinking about students who are learning. And this makes it very difficult to design a DevOps curriculum where you cover a hundred percent DevOps in one course.</v>
      </c>
      <c r="G459" s="22" t="str">
        <f>if(QuotesCheckJudgeAbstract&lt;&gt;"",QuotesCheckJudgeAbstract,if(or(QuotesCheckJudge="",and(QuotesCheckJudge = "primeiro", QuotesCheckChallengeRecommendation1 &lt;&gt; "")), QuotesCheckAbstract1,if(and(QuotesCheckJudge = "segundo", QuotesCheckChallengeRecommendation2 &lt;&gt; ""), QuotesCheckAbstract2,"")))</f>
        <v>Books are designed to company professionals and not about to students who are learning.</v>
      </c>
    </row>
    <row r="460">
      <c r="A460" s="22">
        <f>IFERROR(__xludf.DUMMYFUNCTION("if(or(QuotesCheckJudge="""",and(QuotesCheckJudge = ""primeiro"", QuotesCheckChallengeRecommendation1 &lt;&gt; """"),and(QuotesCheckJudge = ""segundo"", QuotesCheckChallengeRecommendation2 &lt;&gt; """")), filter('Quotes-Check'!A460:D460, 'Quotes-Check'!A460:D460&lt;&gt;""g"&amp;"lugluieie""),"""")"),11.0)</f>
        <v>11</v>
      </c>
      <c r="B460" s="22">
        <f>IFERROR(__xludf.DUMMYFUNCTION("""COMPUTED_VALUE"""),20.0)</f>
        <v>20</v>
      </c>
      <c r="C460" s="2" t="str">
        <f>IFERROR(__xludf.DUMMYFUNCTION("""COMPUTED_VALUE"""),"R1 / R3")</f>
        <v>R1 / R3</v>
      </c>
      <c r="D460" s="22" t="str">
        <f>IFERROR(__xludf.DUMMYFUNCTION("""COMPUTED_VALUE"""),"Other Challenge and Recommendation")</f>
        <v>Other Challenge and Recommendation</v>
      </c>
      <c r="E460" s="46" t="str">
        <f>IFERROR(__xludf.DUMMYFUNCTION("if(or(QuotesCheckJudge="""",and(QuotesCheckJudge = ""primeiro"", QuotesCheckChallengeRecommendation1 &lt;&gt; """")), filter('Quotes-Check'!E460:F460, 'Quotes-Check'!E460:F460&lt;&gt;""glugluieie""),if(and(QuotesCheckJudge = ""segundo"", QuotesCheckChallengeRecommend"&amp;"ation2 &lt;&gt; """"), filter('Quotes-Check'!I460:J460, 'Quotes-Check'!I460:J460&lt;&gt;""glugluieie""),""""))"),"challenge")</f>
        <v>challenge</v>
      </c>
      <c r="F460" s="22" t="str">
        <f>IFERROR(__xludf.DUMMYFUNCTION("""COMPUTED_VALUE"""),"for us as educators, we need to find a way where we can make it interesting.")</f>
        <v>for us as educators, we need to find a way where we can make it interesting.</v>
      </c>
      <c r="G460" s="22" t="str">
        <f>if(QuotesCheckJudgeAbstract&lt;&gt;"",QuotesCheckJudgeAbstract,if(or(QuotesCheckJudge="",and(QuotesCheckJudge = "primeiro", QuotesCheckChallengeRecommendation1 &lt;&gt; "")), QuotesCheckAbstract1,if(and(QuotesCheckJudge = "segundo", QuotesCheckChallengeRecommendation2 &lt;&gt; ""), QuotesCheckAbstract2,"")))</f>
        <v>Make a DevOps course attractive to the students.</v>
      </c>
    </row>
    <row r="461">
      <c r="A461" s="22">
        <f>IFERROR(__xludf.DUMMYFUNCTION("if(or(QuotesCheckJudge="""",and(QuotesCheckJudge = ""primeiro"", QuotesCheckChallengeRecommendation1 &lt;&gt; """"),and(QuotesCheckJudge = ""segundo"", QuotesCheckChallengeRecommendation2 &lt;&gt; """")), filter('Quotes-Check'!A461:D461, 'Quotes-Check'!A461:D461&lt;&gt;""g"&amp;"lugluieie""),"""")"),11.0)</f>
        <v>11</v>
      </c>
      <c r="B461" s="22">
        <f>IFERROR(__xludf.DUMMYFUNCTION("""COMPUTED_VALUE"""),20.0)</f>
        <v>20</v>
      </c>
      <c r="C461" s="2" t="str">
        <f>IFERROR(__xludf.DUMMYFUNCTION("""COMPUTED_VALUE"""),"R1 / R3")</f>
        <v>R1 / R3</v>
      </c>
      <c r="D461" s="22" t="str">
        <f>IFERROR(__xludf.DUMMYFUNCTION("""COMPUTED_VALUE"""),"Other Challenge and Recommendation")</f>
        <v>Other Challenge and Recommendation</v>
      </c>
      <c r="E461" s="46" t="str">
        <f>IFERROR(__xludf.DUMMYFUNCTION("if(or(QuotesCheckJudge="""",and(QuotesCheckJudge = ""primeiro"", QuotesCheckChallengeRecommendation1 &lt;&gt; """")), filter('Quotes-Check'!E461:F461, 'Quotes-Check'!E461:F461&lt;&gt;""glugluieie""),if(and(QuotesCheckJudge = ""segundo"", QuotesCheckChallengeRecommend"&amp;"ation2 &lt;&gt; """"), filter('Quotes-Check'!I461:J461, 'Quotes-Check'!I461:J461&lt;&gt;""glugluieie""),""""))"),"recommendation")</f>
        <v>recommendation</v>
      </c>
      <c r="F461" s="22" t="str">
        <f>IFERROR(__xludf.DUMMYFUNCTION("""COMPUTED_VALUE""")," And so if we can find a way to be able to, to compress the experience or expertise in the practical experience and expertise in the context of lectures and so on.")</f>
        <v> And so if we can find a way to be able to, to compress the experience or expertise in the practical experience and expertise in the context of lectures and so on.</v>
      </c>
      <c r="G461" s="22" t="str">
        <f>if(QuotesCheckJudgeAbstract&lt;&gt;"",QuotesCheckJudgeAbstract,if(or(QuotesCheckJudge="",and(QuotesCheckJudge = "primeiro", QuotesCheckChallengeRecommendation1 &lt;&gt; "")), QuotesCheckAbstract1,if(and(QuotesCheckJudge = "segundo", QuotesCheckChallengeRecommendation2 &lt;&gt; ""), QuotesCheckAbstract2,"")))</f>
        <v>Conciliate the experience in labs and the context of lectures.</v>
      </c>
    </row>
    <row r="462">
      <c r="A462" s="22">
        <f>IFERROR(__xludf.DUMMYFUNCTION("if(or(QuotesCheckJudge="""",and(QuotesCheckJudge = ""primeiro"", QuotesCheckChallengeRecommendation1 &lt;&gt; """"),and(QuotesCheckJudge = ""segundo"", QuotesCheckChallengeRecommendation2 &lt;&gt; """")), filter('Quotes-Check'!A462:D462, 'Quotes-Check'!A462:D462&lt;&gt;""g"&amp;"lugluieie""),"""")"),12.0)</f>
        <v>12</v>
      </c>
      <c r="B462" s="22">
        <f>IFERROR(__xludf.DUMMYFUNCTION("""COMPUTED_VALUE"""),1.0)</f>
        <v>1</v>
      </c>
      <c r="C462" s="2" t="str">
        <f>IFERROR(__xludf.DUMMYFUNCTION("""COMPUTED_VALUE"""),"R1 / R2")</f>
        <v>R1 / R2</v>
      </c>
      <c r="D462" s="22" t="str">
        <f>IFERROR(__xludf.DUMMYFUNCTION("""COMPUTED_VALUE"""),"Educator Experience")</f>
        <v>Educator Experience</v>
      </c>
      <c r="E462" s="46" t="str">
        <f>IFERROR(__xludf.DUMMYFUNCTION("if(or(QuotesCheckJudge="""",and(QuotesCheckJudge = ""primeiro"", QuotesCheckChallengeRecommendation1 &lt;&gt; """")), filter('Quotes-Check'!E462:F462, 'Quotes-Check'!E462:F462&lt;&gt;""glugluieie""),if(and(QuotesCheckJudge = ""segundo"", QuotesCheckChallengeRecommend"&amp;"ation2 &lt;&gt; """"), filter('Quotes-Check'!I462:J462, 'Quotes-Check'!I462:J462&lt;&gt;""glugluieie""),""""))"),"challenge")</f>
        <v>challenge</v>
      </c>
      <c r="F462" s="22" t="str">
        <f>IFERROR(__xludf.DUMMYFUNCTION("""COMPUTED_VALUE"""),"I would say at the end of the fall, or maybe at the beginning of 2019, we started to plan this course. And for the longest time I was really questioning myself. Like, what do you teach in a DevOps course?")</f>
        <v>I would say at the end of the fall, or maybe at the beginning of 2019, we started to plan this course. And for the longest time I was really questioning myself. Like, what do you teach in a DevOps course?</v>
      </c>
      <c r="G462" s="22" t="str">
        <f>if(QuotesCheckJudgeAbstract&lt;&gt;"",QuotesCheckJudgeAbstract,if(or(QuotesCheckJudge="",and(QuotesCheckJudge = "primeiro", QuotesCheckChallengeRecommendation1 &lt;&gt; "")), QuotesCheckAbstract1,if(and(QuotesCheckJudge = "segundo", QuotesCheckChallengeRecommendation2 &lt;&gt; ""), QuotesCheckAbstract2,"")))</f>
        <v>It's difficult to decide what will be taught in a DevOps course</v>
      </c>
    </row>
    <row r="463">
      <c r="A463" s="22">
        <f>IFERROR(__xludf.DUMMYFUNCTION("if(or(QuotesCheckJudge="""",and(QuotesCheckJudge = ""primeiro"", QuotesCheckChallengeRecommendation1 &lt;&gt; """"),and(QuotesCheckJudge = ""segundo"", QuotesCheckChallengeRecommendation2 &lt;&gt; """")), filter('Quotes-Check'!A463:D463, 'Quotes-Check'!A463:D463&lt;&gt;""g"&amp;"lugluieie""),"""")"),12.0)</f>
        <v>12</v>
      </c>
      <c r="B463" s="22">
        <f>IFERROR(__xludf.DUMMYFUNCTION("""COMPUTED_VALUE"""),1.0)</f>
        <v>1</v>
      </c>
      <c r="C463" s="2" t="str">
        <f>IFERROR(__xludf.DUMMYFUNCTION("""COMPUTED_VALUE"""),"R1 / R2")</f>
        <v>R1 / R2</v>
      </c>
      <c r="D463" s="22" t="str">
        <f>IFERROR(__xludf.DUMMYFUNCTION("""COMPUTED_VALUE"""),"Educator Experience")</f>
        <v>Educator Experience</v>
      </c>
      <c r="E463" s="46" t="str">
        <f>IFERROR(__xludf.DUMMYFUNCTION("if(or(QuotesCheckJudge="""",and(QuotesCheckJudge = ""primeiro"", QuotesCheckChallengeRecommendation1 &lt;&gt; """")), filter('Quotes-Check'!E463:F463, 'Quotes-Check'!E463:F463&lt;&gt;""glugluieie""),if(and(QuotesCheckJudge = ""segundo"", QuotesCheckChallengeRecommend"&amp;"ation2 &lt;&gt; """"), filter('Quotes-Check'!I463:J463, 'Quotes-Check'!I463:J463&lt;&gt;""glugluieie""),""""))"),"recommendation")</f>
        <v>recommendation</v>
      </c>
      <c r="F463" s="22" t="str">
        <f>IFERROR(__xludf.DUMMYFUNCTION("""COMPUTED_VALUE"""),"Like, what do you teach in a DevOps course? Like, do you teach just technologies like Kubernetes and Docker? And, and I kept saying, no, this is not why I went back to university. I don't want to be just teaching techniques and tools because these will ch"&amp;"ange over time.
")</f>
        <v>Like, what do you teach in a DevOps course? Like, do you teach just technologies like Kubernetes and Docker? And, and I kept saying, no, this is not why I went back to university. I don't want to be just teaching techniques and tools because these will change over time.
</v>
      </c>
      <c r="G463" s="22" t="str">
        <f>if(QuotesCheckJudgeAbstract&lt;&gt;"",QuotesCheckJudgeAbstract,if(or(QuotesCheckJudge="",and(QuotesCheckJudge = "primeiro", QuotesCheckChallengeRecommendation1 &lt;&gt; "")), QuotesCheckAbstract1,if(and(QuotesCheckJudge = "segundo", QuotesCheckChallengeRecommendation2 &lt;&gt; ""), QuotesCheckAbstract2,"")))</f>
        <v>Don't teach a DevOps course only focusing on tools and technologies because it changes over time</v>
      </c>
    </row>
    <row r="464">
      <c r="A464" s="22">
        <f>IFERROR(__xludf.DUMMYFUNCTION("if(or(QuotesCheckJudge="""",and(QuotesCheckJudge = ""primeiro"", QuotesCheckChallengeRecommendation1 &lt;&gt; """"),and(QuotesCheckJudge = ""segundo"", QuotesCheckChallengeRecommendation2 &lt;&gt; """")), filter('Quotes-Check'!A464:D464, 'Quotes-Check'!A464:D464&lt;&gt;""g"&amp;"lugluieie""),"""")"),12.0)</f>
        <v>12</v>
      </c>
      <c r="B464" s="22">
        <f>IFERROR(__xludf.DUMMYFUNCTION("""COMPUTED_VALUE"""),2.0)</f>
        <v>2</v>
      </c>
      <c r="C464" s="2" t="str">
        <f>IFERROR(__xludf.DUMMYFUNCTION("""COMPUTED_VALUE"""),"R2 / R3")</f>
        <v>R2 / R3</v>
      </c>
      <c r="D464" s="22" t="str">
        <f>IFERROR(__xludf.DUMMYFUNCTION("""COMPUTED_VALUE"""),"Educator Experience")</f>
        <v>Educator Experience</v>
      </c>
      <c r="E464" s="46" t="str">
        <f>IFERROR(__xludf.DUMMYFUNCTION("if(or(QuotesCheckJudge="""",and(QuotesCheckJudge = ""primeiro"", QuotesCheckChallengeRecommendation1 &lt;&gt; """")), filter('Quotes-Check'!E464:F464, 'Quotes-Check'!E464:F464&lt;&gt;""glugluieie""),if(and(QuotesCheckJudge = ""segundo"", QuotesCheckChallengeRecommend"&amp;"ation2 &lt;&gt; """"), filter('Quotes-Check'!I464:J464, 'Quotes-Check'!I464:J464&lt;&gt;""glugluieie""),""""))"),"recommendation")</f>
        <v>recommendation</v>
      </c>
      <c r="F464" s="22" t="str">
        <f>IFERROR(__xludf.DUMMYFUNCTION("""COMPUTED_VALUE""")," I was looking for books to use. And, um, you know, I started to look at the books from Jane Kim. Um, and essentially I found this DevOps handbook, which has really not written as a textbook, but it's, it covers it's, it's built around the three ways of D"&amp;"evOps. So the first way is the notion of flow. The second way is the notion of, um, feedback. And the third way is continual learning and experimentation. ")</f>
        <v> I was looking for books to use. And, um, you know, I started to look at the books from Jane Kim. Um, and essentially I found this DevOps handbook, which has really not written as a textbook, but it's, it covers it's, it's built around the three ways of DevOps. So the first way is the notion of flow. The second way is the notion of, um, feedback. And the third way is continual learning and experimentation. </v>
      </c>
      <c r="G464" s="22" t="str">
        <f>if(QuotesCheckJudgeAbstract&lt;&gt;"",QuotesCheckJudgeAbstract,if(or(QuotesCheckJudge="",and(QuotesCheckJudge = "primeiro", QuotesCheckChallengeRecommendation1 &lt;&gt; "")), QuotesCheckAbstract1,if(and(QuotesCheckJudge = "segundo", QuotesCheckChallengeRecommendation2 &lt;&gt; ""), QuotesCheckAbstract2,"")))</f>
        <v>Take Gene Kim's book "DevOps Handbook" as a reference to prepare a DevOps class</v>
      </c>
    </row>
    <row r="465">
      <c r="A465" s="22">
        <f>IFERROR(__xludf.DUMMYFUNCTION("if(or(QuotesCheckJudge="""",and(QuotesCheckJudge = ""primeiro"", QuotesCheckChallengeRecommendation1 &lt;&gt; """"),and(QuotesCheckJudge = ""segundo"", QuotesCheckChallengeRecommendation2 &lt;&gt; """")), filter('Quotes-Check'!A465:D465, 'Quotes-Check'!A465:D465&lt;&gt;""g"&amp;"lugluieie""),"""")"),12.0)</f>
        <v>12</v>
      </c>
      <c r="B465" s="22">
        <f>IFERROR(__xludf.DUMMYFUNCTION("""COMPUTED_VALUE"""),3.0)</f>
        <v>3</v>
      </c>
      <c r="C465" s="2" t="str">
        <f>IFERROR(__xludf.DUMMYFUNCTION("""COMPUTED_VALUE"""),"R1 / R3")</f>
        <v>R1 / R3</v>
      </c>
      <c r="D465" s="22" t="str">
        <f>IFERROR(__xludf.DUMMYFUNCTION("""COMPUTED_VALUE"""),"Educator Experience")</f>
        <v>Educator Experience</v>
      </c>
      <c r="E465" s="46" t="str">
        <f>IFERROR(__xludf.DUMMYFUNCTION("if(or(QuotesCheckJudge="""",and(QuotesCheckJudge = ""primeiro"", QuotesCheckChallengeRecommendation1 &lt;&gt; """")), filter('Quotes-Check'!E465:F465, 'Quotes-Check'!E465:F465&lt;&gt;""glugluieie""),if(and(QuotesCheckJudge = ""segundo"", QuotesCheckChallengeRecommend"&amp;"ation2 &lt;&gt; """"), filter('Quotes-Check'!I465:J465, 'Quotes-Check'!I465:J465&lt;&gt;""glugluieie""),""""))"),"recommendation")</f>
        <v>recommendation</v>
      </c>
      <c r="F465" s="22" t="str">
        <f>IFERROR(__xludf.DUMMYFUNCTION("""COMPUTED_VALUE"""),"I wanted to go with open source technologies so I can explain later how we build the labs, ")</f>
        <v>I wanted to go with open source technologies so I can explain later how we build the labs, </v>
      </c>
      <c r="G465" s="22" t="str">
        <f>if(QuotesCheckJudgeAbstract&lt;&gt;"",QuotesCheckJudgeAbstract,if(or(QuotesCheckJudge="",and(QuotesCheckJudge = "primeiro", QuotesCheckChallengeRecommendation1 &lt;&gt; "")), QuotesCheckAbstract1,if(and(QuotesCheckJudge = "segundo", QuotesCheckChallengeRecommendation2 &lt;&gt; ""), QuotesCheckAbstract2,"")))</f>
        <v>Prefer to use open source technologies.</v>
      </c>
    </row>
    <row r="466">
      <c r="A466" s="22">
        <f>IFERROR(__xludf.DUMMYFUNCTION("if(or(QuotesCheckJudge="""",and(QuotesCheckJudge = ""primeiro"", QuotesCheckChallengeRecommendation1 &lt;&gt; """"),and(QuotesCheckJudge = ""segundo"", QuotesCheckChallengeRecommendation2 &lt;&gt; """")), filter('Quotes-Check'!A466:D466, 'Quotes-Check'!A466:D466&lt;&gt;""g"&amp;"lugluieie""),"""")"),12.0)</f>
        <v>12</v>
      </c>
      <c r="B466" s="22">
        <f>IFERROR(__xludf.DUMMYFUNCTION("""COMPUTED_VALUE"""),3.0)</f>
        <v>3</v>
      </c>
      <c r="C466" s="2" t="str">
        <f>IFERROR(__xludf.DUMMYFUNCTION("""COMPUTED_VALUE"""),"R1 / R3")</f>
        <v>R1 / R3</v>
      </c>
      <c r="D466" s="22" t="str">
        <f>IFERROR(__xludf.DUMMYFUNCTION("""COMPUTED_VALUE"""),"Educator Experience")</f>
        <v>Educator Experience</v>
      </c>
      <c r="E466" s="46" t="str">
        <f>IFERROR(__xludf.DUMMYFUNCTION("if(or(QuotesCheckJudge="""",and(QuotesCheckJudge = ""primeiro"", QuotesCheckChallengeRecommendation1 &lt;&gt; """")), filter('Quotes-Check'!E466:F466, 'Quotes-Check'!E466:F466&lt;&gt;""glugluieie""),if(and(QuotesCheckJudge = ""segundo"", QuotesCheckChallengeRecommend"&amp;"ation2 &lt;&gt; """"), filter('Quotes-Check'!I466:J466, 'Quotes-Check'!I466:J466&lt;&gt;""glugluieie""),""""))"),"challenge")</f>
        <v>challenge</v>
      </c>
      <c r="F466" s="22" t="str">
        <f>IFERROR(__xludf.DUMMYFUNCTION("""COMPUTED_VALUE"""),"we had to work to do on the labs. ...  the assistant I had two for the labs was too busy with too many things.")</f>
        <v>we had to work to do on the labs. ...  the assistant I had two for the labs was too busy with too many things.</v>
      </c>
      <c r="G466" s="22" t="str">
        <f>if(QuotesCheckJudgeAbstract&lt;&gt;"",QuotesCheckJudgeAbstract,if(or(QuotesCheckJudge="",and(QuotesCheckJudge = "primeiro", QuotesCheckChallengeRecommendation1 &lt;&gt; "")), QuotesCheckAbstract1,if(and(QuotesCheckJudge = "segundo", QuotesCheckChallengeRecommendation2 &lt;&gt; ""), QuotesCheckAbstract2,"")))</f>
        <v>Lots of work to setup the labs even if you have teacher assistants.</v>
      </c>
    </row>
    <row r="467">
      <c r="A467" s="22">
        <f>IFERROR(__xludf.DUMMYFUNCTION("if(or(QuotesCheckJudge="""",and(QuotesCheckJudge = ""primeiro"", QuotesCheckChallengeRecommendation1 &lt;&gt; """"),and(QuotesCheckJudge = ""segundo"", QuotesCheckChallengeRecommendation2 &lt;&gt; """")), filter('Quotes-Check'!A467:D467, 'Quotes-Check'!A467:D467&lt;&gt;""g"&amp;"lugluieie""),"""")"),12.0)</f>
        <v>12</v>
      </c>
      <c r="B467" s="22">
        <f>IFERROR(__xludf.DUMMYFUNCTION("""COMPUTED_VALUE"""),4.0)</f>
        <v>4</v>
      </c>
      <c r="C467" s="2" t="str">
        <f>IFERROR(__xludf.DUMMYFUNCTION("""COMPUTED_VALUE"""),"R1 / R3")</f>
        <v>R1 / R3</v>
      </c>
      <c r="D467" s="22" t="str">
        <f>IFERROR(__xludf.DUMMYFUNCTION("""COMPUTED_VALUE"""),"Educator Experience")</f>
        <v>Educator Experience</v>
      </c>
      <c r="E467" s="46" t="str">
        <f>IFERROR(__xludf.DUMMYFUNCTION("if(or(QuotesCheckJudge="""",and(QuotesCheckJudge = ""primeiro"", QuotesCheckChallengeRecommendation1 &lt;&gt; """")), filter('Quotes-Check'!E467:F467, 'Quotes-Check'!E467:F467&lt;&gt;""glugluieie""),if(and(QuotesCheckJudge = ""segundo"", QuotesCheckChallengeRecommend"&amp;"ation2 &lt;&gt; """"), filter('Quotes-Check'!I467:J467, 'Quotes-Check'!I467:J467&lt;&gt;""glugluieie""),""""))"),"recommendation")</f>
        <v>recommendation</v>
      </c>
      <c r="F467" s="22" t="str">
        <f>IFERROR(__xludf.DUMMYFUNCTION("""COMPUTED_VALUE"""),"the students were still very satisfied with the course [...] we built on the labs of last summer, but may that kind of a case study kind of fixtures case study and the students pretty much like it.")</f>
        <v>the students were still very satisfied with the course [...] we built on the labs of last summer, but may that kind of a case study kind of fixtures case study and the students pretty much like it.</v>
      </c>
      <c r="G467" s="22" t="str">
        <f>if(QuotesCheckJudgeAbstract&lt;&gt;"",QuotesCheckJudgeAbstract,if(or(QuotesCheckJudge="",and(QuotesCheckJudge = "primeiro", QuotesCheckChallengeRecommendation1 &lt;&gt; "")), QuotesCheckAbstract1,if(and(QuotesCheckJudge = "segundo", QuotesCheckChallengeRecommendation2 &lt;&gt; ""), QuotesCheckAbstract2,"")))</f>
        <v>Try to use case study together labs.</v>
      </c>
    </row>
    <row r="468">
      <c r="A468" s="22">
        <f>IFERROR(__xludf.DUMMYFUNCTION("if(or(QuotesCheckJudge="""",and(QuotesCheckJudge = ""primeiro"", QuotesCheckChallengeRecommendation1 &lt;&gt; """"),and(QuotesCheckJudge = ""segundo"", QuotesCheckChallengeRecommendation2 &lt;&gt; """")), filter('Quotes-Check'!A468:D468, 'Quotes-Check'!A468:D468&lt;&gt;""g"&amp;"lugluieie""),"""")"),12.0)</f>
        <v>12</v>
      </c>
      <c r="B468" s="22">
        <f>IFERROR(__xludf.DUMMYFUNCTION("""COMPUTED_VALUE"""),4.0)</f>
        <v>4</v>
      </c>
      <c r="C468" s="2" t="str">
        <f>IFERROR(__xludf.DUMMYFUNCTION("""COMPUTED_VALUE"""),"R1 / R3")</f>
        <v>R1 / R3</v>
      </c>
      <c r="D468" s="22" t="str">
        <f>IFERROR(__xludf.DUMMYFUNCTION("""COMPUTED_VALUE"""),"Educator Experience")</f>
        <v>Educator Experience</v>
      </c>
      <c r="E468" s="46" t="str">
        <f>IFERROR(__xludf.DUMMYFUNCTION("if(or(QuotesCheckJudge="""",and(QuotesCheckJudge = ""primeiro"", QuotesCheckChallengeRecommendation1 &lt;&gt; """")), filter('Quotes-Check'!E468:F468, 'Quotes-Check'!E468:F468&lt;&gt;""glugluieie""),if(and(QuotesCheckJudge = ""segundo"", QuotesCheckChallengeRecommend"&amp;"ation2 &lt;&gt; """"), filter('Quotes-Check'!I468:J468, 'Quotes-Check'!I468:J468&lt;&gt;""glugluieie""),""""))"),"recommendation")</f>
        <v>recommendation</v>
      </c>
      <c r="F468" s="22" t="str">
        <f>IFERROR(__xludf.DUMMYFUNCTION("""COMPUTED_VALUE""")," I had a different assistant for the labs who was the next student. So the first time, and the labs were quite well received. ")</f>
        <v> I had a different assistant for the labs who was the next student. So the first time, and the labs were quite well received. </v>
      </c>
      <c r="G468" s="22" t="str">
        <f>if(QuotesCheckJudgeAbstract&lt;&gt;"",QuotesCheckJudgeAbstract,if(or(QuotesCheckJudge="",and(QuotesCheckJudge = "primeiro", QuotesCheckChallengeRecommendation1 &lt;&gt; "")), QuotesCheckAbstract1,if(and(QuotesCheckJudge = "segundo", QuotesCheckChallengeRecommendation2 &lt;&gt; ""), QuotesCheckAbstract2,"")))</f>
        <v>Qualified teacher assistant is important to setup the labs.</v>
      </c>
    </row>
    <row r="469">
      <c r="A469" s="22">
        <f>IFERROR(__xludf.DUMMYFUNCTION("if(or(QuotesCheckJudge="""",and(QuotesCheckJudge = ""primeiro"", QuotesCheckChallengeRecommendation1 &lt;&gt; """"),and(QuotesCheckJudge = ""segundo"", QuotesCheckChallengeRecommendation2 &lt;&gt; """")), filter('Quotes-Check'!A469:D469, 'Quotes-Check'!A469:D469&lt;&gt;""g"&amp;"lugluieie""),"""")"),12.0)</f>
        <v>12</v>
      </c>
      <c r="B469" s="22">
        <f>IFERROR(__xludf.DUMMYFUNCTION("""COMPUTED_VALUE"""),6.0)</f>
        <v>6</v>
      </c>
      <c r="C469" s="2" t="str">
        <f>IFERROR(__xludf.DUMMYFUNCTION("""COMPUTED_VALUE"""),"R1 / R2")</f>
        <v>R1 / R2</v>
      </c>
      <c r="D469" s="22" t="str">
        <f>IFERROR(__xludf.DUMMYFUNCTION("""COMPUTED_VALUE"""),"Educator Experience")</f>
        <v>Educator Experience</v>
      </c>
      <c r="E469" s="46" t="str">
        <f>IFERROR(__xludf.DUMMYFUNCTION("if(or(QuotesCheckJudge="""",and(QuotesCheckJudge = ""primeiro"", QuotesCheckChallengeRecommendation1 &lt;&gt; """")), filter('Quotes-Check'!E469:F469, 'Quotes-Check'!E469:F469&lt;&gt;""glugluieie""),if(and(QuotesCheckJudge = ""segundo"", QuotesCheckChallengeRecommend"&amp;"ation2 &lt;&gt; """"), filter('Quotes-Check'!I469:J469, 'Quotes-Check'!I469:J469&lt;&gt;""glugluieie""),""""))"),"recommendation")</f>
        <v>recommendation</v>
      </c>
      <c r="F469" s="22" t="str">
        <f>IFERROR(__xludf.DUMMYFUNCTION("""COMPUTED_VALUE"""),"I'm always asking you the last factor. I'm always taking almost an hour to, as a student. Just give me your feedback. Like, like very openly, right? That's you should all give me a feedback again.")</f>
        <v>I'm always asking you the last factor. I'm always taking almost an hour to, as a student. Just give me your feedback. Like, like very openly, right? That's you should all give me a feedback again.</v>
      </c>
      <c r="G469" s="22" t="str">
        <f>if(QuotesCheckJudgeAbstract&lt;&gt;"",QuotesCheckJudgeAbstract,if(or(QuotesCheckJudge="",and(QuotesCheckJudge = "primeiro", QuotesCheckChallengeRecommendation1 &lt;&gt; "")), QuotesCheckAbstract1,if(and(QuotesCheckJudge = "segundo", QuotesCheckChallengeRecommendation2 &lt;&gt; ""), QuotesCheckAbstract2,"")))</f>
        <v>Take time to hear student's feedbacks very openly and give them your feedback too</v>
      </c>
    </row>
    <row r="470">
      <c r="A470" s="22">
        <f>IFERROR(__xludf.DUMMYFUNCTION("if(or(QuotesCheckJudge="""",and(QuotesCheckJudge = ""primeiro"", QuotesCheckChallengeRecommendation1 &lt;&gt; """"),and(QuotesCheckJudge = ""segundo"", QuotesCheckChallengeRecommendation2 &lt;&gt; """")), filter('Quotes-Check'!A470:D470, 'Quotes-Check'!A470:D470&lt;&gt;""g"&amp;"lugluieie""),"""")"),12.0)</f>
        <v>12</v>
      </c>
      <c r="B470" s="22">
        <f>IFERROR(__xludf.DUMMYFUNCTION("""COMPUTED_VALUE"""),6.0)</f>
        <v>6</v>
      </c>
      <c r="C470" s="2" t="str">
        <f>IFERROR(__xludf.DUMMYFUNCTION("""COMPUTED_VALUE"""),"R1 / R2")</f>
        <v>R1 / R2</v>
      </c>
      <c r="D470" s="22" t="str">
        <f>IFERROR(__xludf.DUMMYFUNCTION("""COMPUTED_VALUE"""),"Educator Experience")</f>
        <v>Educator Experience</v>
      </c>
      <c r="E470" s="46" t="str">
        <f>IFERROR(__xludf.DUMMYFUNCTION("if(or(QuotesCheckJudge="""",and(QuotesCheckJudge = ""primeiro"", QuotesCheckChallengeRecommendation1 &lt;&gt; """")), filter('Quotes-Check'!E470:F470, 'Quotes-Check'!E470:F470&lt;&gt;""glugluieie""),if(and(QuotesCheckJudge = ""segundo"", QuotesCheckChallengeRecommend"&amp;"ation2 &lt;&gt; """"), filter('Quotes-Check'!I470:J470, 'Quotes-Check'!I470:J470&lt;&gt;""glugluieie""),""""))"),"recommendation")</f>
        <v>recommendation</v>
      </c>
      <c r="F470" s="22" t="str">
        <f>IFERROR(__xludf.DUMMYFUNCTION("""COMPUTED_VALUE"""),"you need to get the feedback, you don't get the feedback, right? So, and when we, when the students do the student evaluation, of course don't write much. So it's much easier if you can trigger this question")</f>
        <v>you need to get the feedback, you don't get the feedback, right? So, and when we, when the students do the student evaluation, of course don't write much. So it's much easier if you can trigger this question</v>
      </c>
      <c r="G470" s="22" t="str">
        <f>if(QuotesCheckJudgeAbstract&lt;&gt;"",QuotesCheckJudgeAbstract,if(or(QuotesCheckJudge="",and(QuotesCheckJudge = "primeiro", QuotesCheckChallengeRecommendation1 &lt;&gt; "")), QuotesCheckAbstract1,if(and(QuotesCheckJudge = "segundo", QuotesCheckChallengeRecommendation2 &lt;&gt; ""), QuotesCheckAbstract2,"")))</f>
        <v>Do not try to get feedback before a student assessment, as the student may feel fearful.</v>
      </c>
    </row>
    <row r="471">
      <c r="A471" s="22">
        <f>IFERROR(__xludf.DUMMYFUNCTION("if(or(QuotesCheckJudge="""",and(QuotesCheckJudge = ""primeiro"", QuotesCheckChallengeRecommendation1 &lt;&gt; """"),and(QuotesCheckJudge = ""segundo"", QuotesCheckChallengeRecommendation2 &lt;&gt; """")), filter('Quotes-Check'!A471:D471, 'Quotes-Check'!A471:D471&lt;&gt;""g"&amp;"lugluieie""),"""")"),12.0)</f>
        <v>12</v>
      </c>
      <c r="B471" s="22">
        <f>IFERROR(__xludf.DUMMYFUNCTION("""COMPUTED_VALUE"""),7.0)</f>
        <v>7</v>
      </c>
      <c r="C471" s="2" t="str">
        <f>IFERROR(__xludf.DUMMYFUNCTION("""COMPUTED_VALUE"""),"R2 / R3")</f>
        <v>R2 / R3</v>
      </c>
      <c r="D471" s="22" t="str">
        <f>IFERROR(__xludf.DUMMYFUNCTION("""COMPUTED_VALUE"""),"General Challenges and Recommendations")</f>
        <v>General Challenges and Recommendations</v>
      </c>
      <c r="E471" s="46" t="str">
        <f>IFERROR(__xludf.DUMMYFUNCTION("if(or(QuotesCheckJudge="""",and(QuotesCheckJudge = ""primeiro"", QuotesCheckChallengeRecommendation1 &lt;&gt; """")), filter('Quotes-Check'!E471:F471, 'Quotes-Check'!E471:F471&lt;&gt;""glugluieie""),if(and(QuotesCheckJudge = ""segundo"", QuotesCheckChallengeRecommend"&amp;"ation2 &lt;&gt; """"), filter('Quotes-Check'!I471:J471, 'Quotes-Check'!I471:J471&lt;&gt;""glugluieie""),""""))"),"challenge")</f>
        <v>challenge</v>
      </c>
      <c r="F471" s="22" t="str">
        <f>IFERROR(__xludf.DUMMYFUNCTION("""COMPUTED_VALUE"""),"the challenge is, in my opinion, is, is to, to strike this balance between, between, um, concreteness, like work with technologies, because essentially, uh, DevOps is yes, a philosophy. ")</f>
        <v>the challenge is, in my opinion, is, is to, to strike this balance between, between, um, concreteness, like work with technologies, because essentially, uh, DevOps is yes, a philosophy. </v>
      </c>
      <c r="G471" s="22" t="str">
        <f>if(QuotesCheckJudgeAbstract&lt;&gt;"",QuotesCheckJudgeAbstract,if(or(QuotesCheckJudge="",and(QuotesCheckJudge = "primeiro", QuotesCheckChallengeRecommendation1 &lt;&gt; "")), QuotesCheckAbstract1,if(and(QuotesCheckJudge = "segundo", QuotesCheckChallengeRecommendation2 &lt;&gt; ""), QuotesCheckAbstract2,"")))</f>
        <v>It is difficult to balance the concreteness (technologies) and the philosophy (concepts) of DevOps.</v>
      </c>
    </row>
    <row r="472">
      <c r="A472" s="22">
        <f>IFERROR(__xludf.DUMMYFUNCTION("if(or(QuotesCheckJudge="""",and(QuotesCheckJudge = ""primeiro"", QuotesCheckChallengeRecommendation1 &lt;&gt; """"),and(QuotesCheckJudge = ""segundo"", QuotesCheckChallengeRecommendation2 &lt;&gt; """")), filter('Quotes-Check'!A472:D472, 'Quotes-Check'!A472:D472&lt;&gt;""g"&amp;"lugluieie""),"""")"),12.0)</f>
        <v>12</v>
      </c>
      <c r="B472" s="22">
        <f>IFERROR(__xludf.DUMMYFUNCTION("""COMPUTED_VALUE"""),7.0)</f>
        <v>7</v>
      </c>
      <c r="C472" s="2" t="str">
        <f>IFERROR(__xludf.DUMMYFUNCTION("""COMPUTED_VALUE"""),"R2 / R3")</f>
        <v>R2 / R3</v>
      </c>
      <c r="D472" s="22" t="str">
        <f>IFERROR(__xludf.DUMMYFUNCTION("""COMPUTED_VALUE"""),"General Challenges and Recommendations")</f>
        <v>General Challenges and Recommendations</v>
      </c>
      <c r="E472" s="46" t="str">
        <f>IFERROR(__xludf.DUMMYFUNCTION("if(or(QuotesCheckJudge="""",and(QuotesCheckJudge = ""primeiro"", QuotesCheckChallengeRecommendation1 &lt;&gt; """")), filter('Quotes-Check'!E472:F472, 'Quotes-Check'!E472:F472&lt;&gt;""glugluieie""),if(and(QuotesCheckJudge = ""segundo"", QuotesCheckChallengeRecommend"&amp;"ation2 &lt;&gt; """"), filter('Quotes-Check'!I472:J472, 'Quotes-Check'!I472:J472&lt;&gt;""glugluieie""),""""))"),"challenge")</f>
        <v>challenge</v>
      </c>
      <c r="F472" s="22" t="str">
        <f>IFERROR(__xludf.DUMMYFUNCTION("""COMPUTED_VALUE"""),"The, the overall context will change the process they use will have to change, to adapt, to become better, to, to stay at the top too, you know, they have to, so they have to recognize first that technologies will change, but the foundation, the fundament"&amp;"als will remain,")</f>
        <v>The, the overall context will change the process they use will have to change, to adapt, to become better, to, to stay at the top too, you know, they have to, so they have to recognize first that technologies will change, but the foundation, the fundamentals will remain,</v>
      </c>
      <c r="G472" s="22" t="str">
        <f>if(QuotesCheckJudgeAbstract&lt;&gt;"",QuotesCheckJudgeAbstract,if(or(QuotesCheckJudge="",and(QuotesCheckJudge = "primeiro", QuotesCheckChallengeRecommendation1 &lt;&gt; "")), QuotesCheckAbstract1,if(and(QuotesCheckJudge = "segundo", QuotesCheckChallengeRecommendation2 &lt;&gt; ""), QuotesCheckAbstract2,"")))</f>
        <v>It's hard to make clear to students and make them understang the fact that technologies will change with time, but the fundamentals will remain.</v>
      </c>
    </row>
    <row r="473">
      <c r="A473" s="22">
        <f>IFERROR(__xludf.DUMMYFUNCTION("if(or(QuotesCheckJudge="""",and(QuotesCheckJudge = ""primeiro"", QuotesCheckChallengeRecommendation1 &lt;&gt; """"),and(QuotesCheckJudge = ""segundo"", QuotesCheckChallengeRecommendation2 &lt;&gt; """")), filter('Quotes-Check'!A473:D473, 'Quotes-Check'!A473:D473&lt;&gt;""g"&amp;"lugluieie""),"""")"),12.0)</f>
        <v>12</v>
      </c>
      <c r="B473" s="22">
        <f>IFERROR(__xludf.DUMMYFUNCTION("""COMPUTED_VALUE"""),8.0)</f>
        <v>8</v>
      </c>
      <c r="C473" s="2" t="str">
        <f>IFERROR(__xludf.DUMMYFUNCTION("""COMPUTED_VALUE"""),"R1 / R3")</f>
        <v>R1 / R3</v>
      </c>
      <c r="D473" s="22" t="str">
        <f>IFERROR(__xludf.DUMMYFUNCTION("""COMPUTED_VALUE"""),"General Challenges and Recommendations")</f>
        <v>General Challenges and Recommendations</v>
      </c>
      <c r="E473" s="46" t="str">
        <f>IFERROR(__xludf.DUMMYFUNCTION("if(or(QuotesCheckJudge="""",and(QuotesCheckJudge = ""primeiro"", QuotesCheckChallengeRecommendation1 &lt;&gt; """")), filter('Quotes-Check'!E473:F473, 'Quotes-Check'!E473:F473&lt;&gt;""glugluieie""),if(and(QuotesCheckJudge = ""segundo"", QuotesCheckChallengeRecommend"&amp;"ation2 &lt;&gt; """"), filter('Quotes-Check'!I473:J473, 'Quotes-Check'!I473:J473&lt;&gt;""glugluieie""),""""))"),"recommendation")</f>
        <v>recommendation</v>
      </c>
      <c r="F473" s="22" t="str">
        <f>IFERROR(__xludf.DUMMYFUNCTION("""COMPUTED_VALUE"""),"So this book [DevOps Handbook] is very well done in this sense [...] it goes to the foundations of devops and gets to the different key ideas, right? ")</f>
        <v>So this book [DevOps Handbook] is very well done in this sense [...] it goes to the foundations of devops and gets to the different key ideas, right? </v>
      </c>
      <c r="G473" s="22" t="str">
        <f>if(QuotesCheckJudgeAbstract&lt;&gt;"",QuotesCheckJudgeAbstract,if(or(QuotesCheckJudge="",and(QuotesCheckJudge = "primeiro", QuotesCheckChallengeRecommendation1 &lt;&gt; "")), QuotesCheckAbstract1,if(and(QuotesCheckJudge = "segundo", QuotesCheckChallengeRecommendation2 &lt;&gt; ""), QuotesCheckAbstract2,"")))</f>
        <v>Devops Handbook goes to the foundations of DevOps and gets to the different key ideas.</v>
      </c>
    </row>
    <row r="474">
      <c r="A474" s="22">
        <f>IFERROR(__xludf.DUMMYFUNCTION("if(or(QuotesCheckJudge="""",and(QuotesCheckJudge = ""primeiro"", QuotesCheckChallengeRecommendation1 &lt;&gt; """"),and(QuotesCheckJudge = ""segundo"", QuotesCheckChallengeRecommendation2 &lt;&gt; """")), filter('Quotes-Check'!A474:D474, 'Quotes-Check'!A474:D474&lt;&gt;""g"&amp;"lugluieie""),"""")"),12.0)</f>
        <v>12</v>
      </c>
      <c r="B474" s="22">
        <f>IFERROR(__xludf.DUMMYFUNCTION("""COMPUTED_VALUE"""),8.0)</f>
        <v>8</v>
      </c>
      <c r="C474" s="2" t="str">
        <f>IFERROR(__xludf.DUMMYFUNCTION("""COMPUTED_VALUE"""),"R1 / R3")</f>
        <v>R1 / R3</v>
      </c>
      <c r="D474" s="22" t="str">
        <f>IFERROR(__xludf.DUMMYFUNCTION("""COMPUTED_VALUE"""),"General Challenges and Recommendations")</f>
        <v>General Challenges and Recommendations</v>
      </c>
      <c r="E474" s="46" t="str">
        <f>IFERROR(__xludf.DUMMYFUNCTION("if(or(QuotesCheckJudge="""",and(QuotesCheckJudge = ""primeiro"", QuotesCheckChallengeRecommendation1 &lt;&gt; """")), filter('Quotes-Check'!E474:F474, 'Quotes-Check'!E474:F474&lt;&gt;""glugluieie""),if(and(QuotesCheckJudge = ""segundo"", QuotesCheckChallengeRecommend"&amp;"ation2 &lt;&gt; """"), filter('Quotes-Check'!I474:J474, 'Quotes-Check'!I474:J474&lt;&gt;""glugluieie""),""""))"),"challenge")</f>
        <v>challenge</v>
      </c>
      <c r="F474" s="22" t="str">
        <f>IFERROR(__xludf.DUMMYFUNCTION("""COMPUTED_VALUE"""),"the main challenge remain the able to, to, to teach the fundamentals. I think that this type, of course almost requires some type of industrial experience, because if you've not been in contact with the industry, there are so many things that are, um, mor"&amp;"e difficult to, to, to really understand.")</f>
        <v>the main challenge remain the able to, to, to teach the fundamentals. I think that this type, of course almost requires some type of industrial experience, because if you've not been in contact with the industry, there are so many things that are, um, more difficult to, to, to really understand.</v>
      </c>
      <c r="G474" s="22" t="str">
        <f>if(QuotesCheckJudgeAbstract&lt;&gt;"",QuotesCheckJudgeAbstract,if(or(QuotesCheckJudge="",and(QuotesCheckJudge = "primeiro", QuotesCheckChallengeRecommendation1 &lt;&gt; "")), QuotesCheckAbstract1,if(and(QuotesCheckJudge = "segundo", QuotesCheckChallengeRecommendation2 &lt;&gt; ""), QuotesCheckAbstract2,"")))</f>
        <v>It is difficult to teach DevOps concepts without industry experience.</v>
      </c>
    </row>
    <row r="475">
      <c r="A475" s="22">
        <f>IFERROR(__xludf.DUMMYFUNCTION("if(or(QuotesCheckJudge="""",and(QuotesCheckJudge = ""primeiro"", QuotesCheckChallengeRecommendation1 &lt;&gt; """"),and(QuotesCheckJudge = ""segundo"", QuotesCheckChallengeRecommendation2 &lt;&gt; """")), filter('Quotes-Check'!A475:D475, 'Quotes-Check'!A475:D475&lt;&gt;""g"&amp;"lugluieie""),"""")"),12.0)</f>
        <v>12</v>
      </c>
      <c r="B475" s="22">
        <f>IFERROR(__xludf.DUMMYFUNCTION("""COMPUTED_VALUE"""),9.0)</f>
        <v>9</v>
      </c>
      <c r="C475" s="2" t="str">
        <f>IFERROR(__xludf.DUMMYFUNCTION("""COMPUTED_VALUE"""),"R1 / R3")</f>
        <v>R1 / R3</v>
      </c>
      <c r="D475" s="22" t="str">
        <f>IFERROR(__xludf.DUMMYFUNCTION("""COMPUTED_VALUE"""),"General Challenges and Recommendations")</f>
        <v>General Challenges and Recommendations</v>
      </c>
      <c r="E475" s="46" t="str">
        <f>IFERROR(__xludf.DUMMYFUNCTION("if(or(QuotesCheckJudge="""",and(QuotesCheckJudge = ""primeiro"", QuotesCheckChallengeRecommendation1 &lt;&gt; """")), filter('Quotes-Check'!E475:F475, 'Quotes-Check'!E475:F475&lt;&gt;""glugluieie""),if(and(QuotesCheckJudge = ""segundo"", QuotesCheckChallengeRecommend"&amp;"ation2 &lt;&gt; """"), filter('Quotes-Check'!I475:J475, 'Quotes-Check'!I475:J475&lt;&gt;""glugluieie""),""""))"),"recommendation")</f>
        <v>recommendation</v>
      </c>
      <c r="F475" s="22" t="str">
        <f>IFERROR(__xludf.DUMMYFUNCTION("""COMPUTED_VALUE"""),"the unicorn [project book] who was just, just published last year is more about the Dev stuff, but it really brings it into the mindset of, of, okay, what are the issues concretely that we face. ")</f>
        <v>the unicorn [project book] who was just, just published last year is more about the Dev stuff, but it really brings it into the mindset of, of, okay, what are the issues concretely that we face. </v>
      </c>
      <c r="G475" s="22" t="str">
        <f>if(QuotesCheckJudgeAbstract&lt;&gt;"",QuotesCheckJudgeAbstract,if(or(QuotesCheckJudge="",and(QuotesCheckJudge = "primeiro", QuotesCheckChallengeRecommendation1 &lt;&gt; "")), QuotesCheckAbstract1,if(and(QuotesCheckJudge = "segundo", QuotesCheckChallengeRecommendation2 &lt;&gt; ""), QuotesCheckAbstract2,"")))</f>
        <v>The Unicorn project book is a novel which covers the Dev side issues of DevOps.</v>
      </c>
    </row>
    <row r="476">
      <c r="A476" s="22">
        <f>IFERROR(__xludf.DUMMYFUNCTION("if(or(QuotesCheckJudge="""",and(QuotesCheckJudge = ""primeiro"", QuotesCheckChallengeRecommendation1 &lt;&gt; """"),and(QuotesCheckJudge = ""segundo"", QuotesCheckChallengeRecommendation2 &lt;&gt; """")), filter('Quotes-Check'!A476:D476, 'Quotes-Check'!A476:D476&lt;&gt;""g"&amp;"lugluieie""),"""")"),12.0)</f>
        <v>12</v>
      </c>
      <c r="B476" s="22">
        <f>IFERROR(__xludf.DUMMYFUNCTION("""COMPUTED_VALUE"""),9.0)</f>
        <v>9</v>
      </c>
      <c r="C476" s="2" t="str">
        <f>IFERROR(__xludf.DUMMYFUNCTION("""COMPUTED_VALUE"""),"R1 / R3")</f>
        <v>R1 / R3</v>
      </c>
      <c r="D476" s="22" t="str">
        <f>IFERROR(__xludf.DUMMYFUNCTION("""COMPUTED_VALUE"""),"General Challenges and Recommendations")</f>
        <v>General Challenges and Recommendations</v>
      </c>
      <c r="E476" s="46" t="str">
        <f>IFERROR(__xludf.DUMMYFUNCTION("if(or(QuotesCheckJudge="""",and(QuotesCheckJudge = ""primeiro"", QuotesCheckChallengeRecommendation1 &lt;&gt; """")), filter('Quotes-Check'!E476:F476, 'Quotes-Check'!E476:F476&lt;&gt;""glugluieie""),if(and(QuotesCheckJudge = ""segundo"", QuotesCheckChallengeRecommend"&amp;"ation2 &lt;&gt; """"), filter('Quotes-Check'!I476:J476, 'Quotes-Check'!I476:J476&lt;&gt;""glugluieie""),""""))"),"recommendation")</f>
        <v>recommendation</v>
      </c>
      <c r="F476" s="22" t="str">
        <f>IFERROR(__xludf.DUMMYFUNCTION("""COMPUTED_VALUE"""),"The Phoenix project ...  it's written also by essentially Jean Kim ... , it's written as a novel ... you get into the, the life of people that are facing issues that's are essentially DevOps issues ... he Phoenix project is more about the Ops side of thin"&amp;"gs.")</f>
        <v>The Phoenix project ...  it's written also by essentially Jean Kim ... , it's written as a novel ... you get into the, the life of people that are facing issues that's are essentially DevOps issues ... he Phoenix project is more about the Ops side of things.</v>
      </c>
      <c r="G476" s="22" t="str">
        <f>if(QuotesCheckJudgeAbstract&lt;&gt;"",QuotesCheckJudgeAbstract,if(or(QuotesCheckJudge="",and(QuotesCheckJudge = "primeiro", QuotesCheckChallengeRecommendation1 &lt;&gt; "")), QuotesCheckAbstract1,if(and(QuotesCheckJudge = "segundo", QuotesCheckChallengeRecommendation2 &lt;&gt; ""), QuotesCheckAbstract2,"")))</f>
        <v>The Phoenix book by Jean Kim is a novel that covers the Ops side of DevOps.</v>
      </c>
    </row>
    <row r="477">
      <c r="A477" s="22">
        <f>IFERROR(__xludf.DUMMYFUNCTION("if(or(QuotesCheckJudge="""",and(QuotesCheckJudge = ""primeiro"", QuotesCheckChallengeRecommendation1 &lt;&gt; """"),and(QuotesCheckJudge = ""segundo"", QuotesCheckChallengeRecommendation2 &lt;&gt; """")), filter('Quotes-Check'!A477:D477, 'Quotes-Check'!A477:D477&lt;&gt;""g"&amp;"lugluieie""),"""")"),12.0)</f>
        <v>12</v>
      </c>
      <c r="B477" s="22">
        <f>IFERROR(__xludf.DUMMYFUNCTION("""COMPUTED_VALUE"""),10.0)</f>
        <v>10</v>
      </c>
      <c r="C477" s="2" t="str">
        <f>IFERROR(__xludf.DUMMYFUNCTION("""COMPUTED_VALUE"""),"R1 / R3")</f>
        <v>R1 / R3</v>
      </c>
      <c r="D477" s="22" t="str">
        <f>IFERROR(__xludf.DUMMYFUNCTION("""COMPUTED_VALUE"""),"General Challenges and Recommendations")</f>
        <v>General Challenges and Recommendations</v>
      </c>
      <c r="E477" s="46" t="str">
        <f>IFERROR(__xludf.DUMMYFUNCTION("if(or(QuotesCheckJudge="""",and(QuotesCheckJudge = ""primeiro"", QuotesCheckChallengeRecommendation1 &lt;&gt; """")), filter('Quotes-Check'!E477:F477, 'Quotes-Check'!E477:F477&lt;&gt;""glugluieie""),if(and(QuotesCheckJudge = ""segundo"", QuotesCheckChallengeRecommend"&amp;"ation2 &lt;&gt; """"), filter('Quotes-Check'!I477:J477, 'Quotes-Check'!I477:J477&lt;&gt;""glugluieie""),""""))"),"challenge")</f>
        <v>challenge</v>
      </c>
      <c r="F477" s="22" t="str">
        <f>IFERROR(__xludf.DUMMYFUNCTION("""COMPUTED_VALUE"""),"I actually strongly encourage students to read it, but I know that they don't")</f>
        <v>I actually strongly encourage students to read it, but I know that they don't</v>
      </c>
      <c r="G477" s="22" t="str">
        <f>if(QuotesCheckJudgeAbstract&lt;&gt;"",QuotesCheckJudgeAbstract,if(or(QuotesCheckJudge="",and(QuotesCheckJudge = "primeiro", QuotesCheckChallengeRecommendation1 &lt;&gt; "")), QuotesCheckAbstract1,if(and(QuotesCheckJudge = "segundo", QuotesCheckChallengeRecommendation2 &lt;&gt; ""), QuotesCheckAbstract2,"")))</f>
        <v>The students don't read the suggested book even if you strongly encourage them.</v>
      </c>
    </row>
    <row r="478">
      <c r="A478" s="22">
        <f>IFERROR(__xludf.DUMMYFUNCTION("if(or(QuotesCheckJudge="""",and(QuotesCheckJudge = ""primeiro"", QuotesCheckChallengeRecommendation1 &lt;&gt; """"),and(QuotesCheckJudge = ""segundo"", QuotesCheckChallengeRecommendation2 &lt;&gt; """")), filter('Quotes-Check'!A478:D478, 'Quotes-Check'!A478:D478&lt;&gt;""g"&amp;"lugluieie""),"""")"),12.0)</f>
        <v>12</v>
      </c>
      <c r="B478" s="22">
        <f>IFERROR(__xludf.DUMMYFUNCTION("""COMPUTED_VALUE"""),11.0)</f>
        <v>11</v>
      </c>
      <c r="C478" s="2" t="str">
        <f>IFERROR(__xludf.DUMMYFUNCTION("""COMPUTED_VALUE"""),"R1 / R2")</f>
        <v>R1 / R2</v>
      </c>
      <c r="D478" s="22" t="str">
        <f>IFERROR(__xludf.DUMMYFUNCTION("""COMPUTED_VALUE"""),"General Challenges and Recommendations")</f>
        <v>General Challenges and Recommendations</v>
      </c>
      <c r="E478" s="46" t="str">
        <f>IFERROR(__xludf.DUMMYFUNCTION("if(or(QuotesCheckJudge="""",and(QuotesCheckJudge = ""primeiro"", QuotesCheckChallengeRecommendation1 &lt;&gt; """")), filter('Quotes-Check'!E478:F478, 'Quotes-Check'!E478:F478&lt;&gt;""glugluieie""),if(and(QuotesCheckJudge = ""segundo"", QuotesCheckChallengeRecommend"&amp;"ation2 &lt;&gt; """"), filter('Quotes-Check'!I478:J478, 'Quotes-Check'!I478:J478&lt;&gt;""glugluieie""),""""))"),"recommendation")</f>
        <v>recommendation</v>
      </c>
      <c r="F478" s="22" t="str">
        <f>IFERROR(__xludf.DUMMYFUNCTION("""COMPUTED_VALUE""")," I built kind of a fictitious company [...] based on my experience [...]  the students work in groups of three [...]  in the first lab, they have to set up their environment [...] We bring them also to, to build, uh, two small applications that actually e"&amp;"xtract, um, data from the Kanban, uh, in GitHub using the GitHub APIs, because I want the students to one that very important aspect of DevOps is the continuous improvement. So if you want, you have to apply the same principles to the process that you're "&amp;"applying to your product.
")</f>
        <v> I built kind of a fictitious company [...] based on my experience [...]  the students work in groups of three [...]  in the first lab, they have to set up their environment [...] We bring them also to, to build, uh, two small applications that actually extract, um, data from the Kanban, uh, in GitHub using the GitHub APIs, because I want the students to one that very important aspect of DevOps is the continuous improvement. So if you want, you have to apply the same principles to the process that you're applying to your product.
</v>
      </c>
      <c r="G478" s="22" t="str">
        <f>if(QuotesCheckJudgeAbstract&lt;&gt;"",QuotesCheckJudgeAbstract,if(or(QuotesCheckJudge="",and(QuotesCheckJudge = "primeiro", QuotesCheckChallengeRecommendation1 &lt;&gt; "")), QuotesCheckAbstract1,if(and(QuotesCheckJudge = "segundo", QuotesCheckChallengeRecommendation2 &lt;&gt; ""), QuotesCheckAbstract2,"")))</f>
        <v>Create a fictitious company based on experience for students to practice continuous improvement, creating applications, extracting data from Kanban</v>
      </c>
    </row>
    <row r="479">
      <c r="A479" s="22">
        <f>IFERROR(__xludf.DUMMYFUNCTION("if(or(QuotesCheckJudge="""",and(QuotesCheckJudge = ""primeiro"", QuotesCheckChallengeRecommendation1 &lt;&gt; """"),and(QuotesCheckJudge = ""segundo"", QuotesCheckChallengeRecommendation2 &lt;&gt; """")), filter('Quotes-Check'!A479:D479, 'Quotes-Check'!A479:D479&lt;&gt;""g"&amp;"lugluieie""),"""")"),12.0)</f>
        <v>12</v>
      </c>
      <c r="B479" s="22">
        <f>IFERROR(__xludf.DUMMYFUNCTION("""COMPUTED_VALUE"""),12.0)</f>
        <v>12</v>
      </c>
      <c r="C479" s="2" t="str">
        <f>IFERROR(__xludf.DUMMYFUNCTION("""COMPUTED_VALUE"""),"R2 / R3")</f>
        <v>R2 / R3</v>
      </c>
      <c r="D479" s="22" t="str">
        <f>IFERROR(__xludf.DUMMYFUNCTION("""COMPUTED_VALUE"""),"General Challenges and Recommendations")</f>
        <v>General Challenges and Recommendations</v>
      </c>
      <c r="E479" s="46" t="str">
        <f>IFERROR(__xludf.DUMMYFUNCTION("if(or(QuotesCheckJudge="""",and(QuotesCheckJudge = ""primeiro"", QuotesCheckChallengeRecommendation1 &lt;&gt; """")), filter('Quotes-Check'!E479:F479, 'Quotes-Check'!E479:F479&lt;&gt;""glugluieie""),if(and(QuotesCheckJudge = ""segundo"", QuotesCheckChallengeRecommend"&amp;"ation2 &lt;&gt; """"), filter('Quotes-Check'!I479:J479, 'Quotes-Check'!I479:J479&lt;&gt;""glugluieie""),""""))"),"recommendation")</f>
        <v>recommendation</v>
      </c>
      <c r="F479" s="22" t="str">
        <f>IFERROR(__xludf.DUMMYFUNCTION("""COMPUTED_VALUE""")," So they have set up their environment")</f>
        <v> So they have set up their environment</v>
      </c>
      <c r="G479" s="22" t="str">
        <f>if(QuotesCheckJudgeAbstract&lt;&gt;"",QuotesCheckJudgeAbstract,if(or(QuotesCheckJudge="",and(QuotesCheckJudge = "primeiro", QuotesCheckChallengeRecommendation1 &lt;&gt; "")), QuotesCheckAbstract1,if(and(QuotesCheckJudge = "segundo", QuotesCheckChallengeRecommendation2 &lt;&gt; ""), QuotesCheckAbstract2,"")))</f>
        <v>Let students setup their environment for themselves.</v>
      </c>
    </row>
    <row r="480">
      <c r="A480" s="22">
        <f>IFERROR(__xludf.DUMMYFUNCTION("if(or(QuotesCheckJudge="""",and(QuotesCheckJudge = ""primeiro"", QuotesCheckChallengeRecommendation1 &lt;&gt; """"),and(QuotesCheckJudge = ""segundo"", QuotesCheckChallengeRecommendation2 &lt;&gt; """")), filter('Quotes-Check'!A480:D480, 'Quotes-Check'!A480:D480&lt;&gt;""g"&amp;"lugluieie""),"""")"),12.0)</f>
        <v>12</v>
      </c>
      <c r="B480" s="22">
        <f>IFERROR(__xludf.DUMMYFUNCTION("""COMPUTED_VALUE"""),12.0)</f>
        <v>12</v>
      </c>
      <c r="C480" s="2" t="str">
        <f>IFERROR(__xludf.DUMMYFUNCTION("""COMPUTED_VALUE"""),"R2 / R3")</f>
        <v>R2 / R3</v>
      </c>
      <c r="D480" s="22" t="str">
        <f>IFERROR(__xludf.DUMMYFUNCTION("""COMPUTED_VALUE"""),"General Challenges and Recommendations")</f>
        <v>General Challenges and Recommendations</v>
      </c>
      <c r="E480" s="46" t="str">
        <f>IFERROR(__xludf.DUMMYFUNCTION("if(or(QuotesCheckJudge="""",and(QuotesCheckJudge = ""primeiro"", QuotesCheckChallengeRecommendation1 &lt;&gt; """")), filter('Quotes-Check'!E480:F480, 'Quotes-Check'!E480:F480&lt;&gt;""glugluieie""),if(and(QuotesCheckJudge = ""segundo"", QuotesCheckChallengeRecommend"&amp;"ation2 &lt;&gt; """"), filter('Quotes-Check'!I480:J480, 'Quotes-Check'!I480:J480&lt;&gt;""glugluieie""),""""))"),"recommendation")</f>
        <v>recommendation</v>
      </c>
      <c r="F480" s="22" t="str">
        <f>IFERROR(__xludf.DUMMYFUNCTION("""COMPUTED_VALUE"""),"The second one is to, we give them an application. It's an actually an HVAC humidity, air conditioning and ventilation, um, and they don't develop the application, but they have to build the pipeline to support this existing application.")</f>
        <v>The second one is to, we give them an application. It's an actually an HVAC humidity, air conditioning and ventilation, um, and they don't develop the application, but they have to build the pipeline to support this existing application.</v>
      </c>
      <c r="G480" s="22" t="str">
        <f>if(QuotesCheckJudgeAbstract&lt;&gt;"",QuotesCheckJudgeAbstract,if(or(QuotesCheckJudge="",and(QuotesCheckJudge = "primeiro", QuotesCheckChallengeRecommendation1 &lt;&gt; "")), QuotesCheckAbstract1,if(and(QuotesCheckJudge = "segundo", QuotesCheckChallengeRecommendation2 &lt;&gt; ""), QuotesCheckAbstract2,"")))</f>
        <v>Give students an application that they have to build the pipeline to support it.</v>
      </c>
    </row>
    <row r="481">
      <c r="A481" s="22">
        <f>IFERROR(__xludf.DUMMYFUNCTION("if(or(QuotesCheckJudge="""",and(QuotesCheckJudge = ""primeiro"", QuotesCheckChallengeRecommendation1 &lt;&gt; """"),and(QuotesCheckJudge = ""segundo"", QuotesCheckChallengeRecommendation2 &lt;&gt; """")), filter('Quotes-Check'!A481:D481, 'Quotes-Check'!A481:D481&lt;&gt;""g"&amp;"lugluieie""),"""")"),12.0)</f>
        <v>12</v>
      </c>
      <c r="B481" s="22">
        <f>IFERROR(__xludf.DUMMYFUNCTION("""COMPUTED_VALUE"""),13.0)</f>
        <v>13</v>
      </c>
      <c r="C481" s="2" t="str">
        <f>IFERROR(__xludf.DUMMYFUNCTION("""COMPUTED_VALUE"""),"R1 / R3")</f>
        <v>R1 / R3</v>
      </c>
      <c r="D481" s="22" t="str">
        <f>IFERROR(__xludf.DUMMYFUNCTION("""COMPUTED_VALUE"""),"General Challenges and Recommendations")</f>
        <v>General Challenges and Recommendations</v>
      </c>
      <c r="E481" s="46" t="str">
        <f>IFERROR(__xludf.DUMMYFUNCTION("if(or(QuotesCheckJudge="""",and(QuotesCheckJudge = ""primeiro"", QuotesCheckChallengeRecommendation1 &lt;&gt; """")), filter('Quotes-Check'!E481:F481, 'Quotes-Check'!E481:F481&lt;&gt;""glugluieie""),if(and(QuotesCheckJudge = ""segundo"", QuotesCheckChallengeRecommend"&amp;"ation2 &lt;&gt; """"), filter('Quotes-Check'!I481:J481, 'Quotes-Check'!I481:J481&lt;&gt;""glugluieie""),""""))"),"recommendation")</f>
        <v>recommendation</v>
      </c>
      <c r="F481" s="22" t="str">
        <f>IFERROR(__xludf.DUMMYFUNCTION("""COMPUTED_VALUE"""),"So second one is about establishing the pipeline and then they finish the second one by, uh, building the Docker images. But it's not in depth about containers or, or kubernetes, but that's easily touch it. Okay.")</f>
        <v>So second one is about establishing the pipeline and then they finish the second one by, uh, building the Docker images. But it's not in depth about containers or, or kubernetes, but that's easily touch it. Okay.</v>
      </c>
      <c r="G481" s="22" t="str">
        <f>if(QuotesCheckJudgeAbstract&lt;&gt;"",QuotesCheckJudgeAbstract,if(or(QuotesCheckJudge="",and(QuotesCheckJudge = "primeiro", QuotesCheckChallengeRecommendation1 &lt;&gt; "")), QuotesCheckAbstract1,if(and(QuotesCheckJudge = "segundo", QuotesCheckChallengeRecommendation2 &lt;&gt; ""), QuotesCheckAbstract2,"")))</f>
        <v>Teach how to use tools like Docker and Kubernetes but do not much depth</v>
      </c>
    </row>
    <row r="482">
      <c r="A482" s="22">
        <f>IFERROR(__xludf.DUMMYFUNCTION("if(or(QuotesCheckJudge="""",and(QuotesCheckJudge = ""primeiro"", QuotesCheckChallengeRecommendation1 &lt;&gt; """"),and(QuotesCheckJudge = ""segundo"", QuotesCheckChallengeRecommendation2 &lt;&gt; """")), filter('Quotes-Check'!A482:D482, 'Quotes-Check'!A482:D482&lt;&gt;""g"&amp;"lugluieie""),"""")"),12.0)</f>
        <v>12</v>
      </c>
      <c r="B482" s="22">
        <f>IFERROR(__xludf.DUMMYFUNCTION("""COMPUTED_VALUE"""),13.0)</f>
        <v>13</v>
      </c>
      <c r="C482" s="2" t="str">
        <f>IFERROR(__xludf.DUMMYFUNCTION("""COMPUTED_VALUE"""),"R1 / R3")</f>
        <v>R1 / R3</v>
      </c>
      <c r="D482" s="22" t="str">
        <f>IFERROR(__xludf.DUMMYFUNCTION("""COMPUTED_VALUE"""),"General Challenges and Recommendations")</f>
        <v>General Challenges and Recommendations</v>
      </c>
      <c r="E482" s="46" t="str">
        <f>IFERROR(__xludf.DUMMYFUNCTION("if(or(QuotesCheckJudge="""",and(QuotesCheckJudge = ""primeiro"", QuotesCheckChallengeRecommendation1 &lt;&gt; """")), filter('Quotes-Check'!E482:F482, 'Quotes-Check'!E482:F482&lt;&gt;""glugluieie""),if(and(QuotesCheckJudge = ""segundo"", QuotesCheckChallengeRecommend"&amp;"ation2 &lt;&gt; """"), filter('Quotes-Check'!I482:J482, 'Quotes-Check'!I482:J482&lt;&gt;""glugluieie""),""""))"),"recommendation")</f>
        <v>recommendation</v>
      </c>
      <c r="F482" s="22" t="str">
        <f>IFERROR(__xludf.DUMMYFUNCTION("""COMPUTED_VALUE"""),"the third lab, that's what we do since last winter. We didn't do it last summer, did deploy on, on, on AWS. So we have, we have built accounts on Amazon, so they can go all the way.")</f>
        <v>the third lab, that's what we do since last winter. We didn't do it last summer, did deploy on, on, on AWS. So we have, we have built accounts on Amazon, so they can go all the way.</v>
      </c>
      <c r="G482" s="22" t="str">
        <f>if(QuotesCheckJudgeAbstract&lt;&gt;"",QuotesCheckJudgeAbstract,if(or(QuotesCheckJudge="",and(QuotesCheckJudge = "primeiro", QuotesCheckChallengeRecommendation1 &lt;&gt; "")), QuotesCheckAbstract1,if(and(QuotesCheckJudge = "segundo", QuotesCheckChallengeRecommendation2 &lt;&gt; ""), QuotesCheckAbstract2,"")))</f>
        <v>Make the students experiment how to use a cloud provider like AWS.</v>
      </c>
    </row>
    <row r="483">
      <c r="A483" s="22">
        <f>IFERROR(__xludf.DUMMYFUNCTION("if(or(QuotesCheckJudge="""",and(QuotesCheckJudge = ""primeiro"", QuotesCheckChallengeRecommendation1 &lt;&gt; """"),and(QuotesCheckJudge = ""segundo"", QuotesCheckChallengeRecommendation2 &lt;&gt; """")), filter('Quotes-Check'!A483:D483, 'Quotes-Check'!A483:D483&lt;&gt;""g"&amp;"lugluieie""),"""")"),12.0)</f>
        <v>12</v>
      </c>
      <c r="B483" s="22">
        <f>IFERROR(__xludf.DUMMYFUNCTION("""COMPUTED_VALUE"""),14.0)</f>
        <v>14</v>
      </c>
      <c r="C483" s="2" t="str">
        <f>IFERROR(__xludf.DUMMYFUNCTION("""COMPUTED_VALUE"""),"R1 / R3")</f>
        <v>R1 / R3</v>
      </c>
      <c r="D483" s="22" t="str">
        <f>IFERROR(__xludf.DUMMYFUNCTION("""COMPUTED_VALUE"""),"General Challenges and Recommendations")</f>
        <v>General Challenges and Recommendations</v>
      </c>
      <c r="E483" s="46" t="str">
        <f>IFERROR(__xludf.DUMMYFUNCTION("if(or(QuotesCheckJudge="""",and(QuotesCheckJudge = ""primeiro"", QuotesCheckChallengeRecommendation1 &lt;&gt; """")), filter('Quotes-Check'!E483:F483, 'Quotes-Check'!E483:F483&lt;&gt;""glugluieie""),if(and(QuotesCheckJudge = ""segundo"", QuotesCheckChallengeRecommend"&amp;"ation2 &lt;&gt; """"), filter('Quotes-Check'!I483:J483, 'Quotes-Check'!I483:J483&lt;&gt;""glugluieie""),""""))"),"recommendation")</f>
        <v>recommendation</v>
      </c>
      <c r="F483" s="22" t="str">
        <f>IFERROR(__xludf.DUMMYFUNCTION("""COMPUTED_VALUE"""),"the global approach made sure the students not associated with devops with a CI/CD pipeline, because in my opinion, it's all about continuous improvement. ")</f>
        <v>the global approach made sure the students not associated with devops with a CI/CD pipeline, because in my opinion, it's all about continuous improvement. </v>
      </c>
      <c r="G483" s="22" t="str">
        <f>if(QuotesCheckJudgeAbstract&lt;&gt;"",QuotesCheckJudgeAbstract,if(or(QuotesCheckJudge="",and(QuotesCheckJudge = "primeiro", QuotesCheckChallengeRecommendation1 &lt;&gt; "")), QuotesCheckAbstract1,if(and(QuotesCheckJudge = "segundo", QuotesCheckChallengeRecommendation2 &lt;&gt; ""), QuotesCheckAbstract2,"")))</f>
        <v>Continuous improvement is a key DevOps concept.</v>
      </c>
    </row>
    <row r="484">
      <c r="A484" s="22">
        <f>IFERROR(__xludf.DUMMYFUNCTION("if(or(QuotesCheckJudge="""",and(QuotesCheckJudge = ""primeiro"", QuotesCheckChallengeRecommendation1 &lt;&gt; """"),and(QuotesCheckJudge = ""segundo"", QuotesCheckChallengeRecommendation2 &lt;&gt; """")), filter('Quotes-Check'!A484:D484, 'Quotes-Check'!A484:D484&lt;&gt;""g"&amp;"lugluieie""),"""")"),12.0)</f>
        <v>12</v>
      </c>
      <c r="B484" s="22">
        <f>IFERROR(__xludf.DUMMYFUNCTION("""COMPUTED_VALUE"""),14.0)</f>
        <v>14</v>
      </c>
      <c r="C484" s="2" t="str">
        <f>IFERROR(__xludf.DUMMYFUNCTION("""COMPUTED_VALUE"""),"R1 / R3")</f>
        <v>R1 / R3</v>
      </c>
      <c r="D484" s="22" t="str">
        <f>IFERROR(__xludf.DUMMYFUNCTION("""COMPUTED_VALUE"""),"General Challenges and Recommendations")</f>
        <v>General Challenges and Recommendations</v>
      </c>
      <c r="E484" s="46" t="str">
        <f>IFERROR(__xludf.DUMMYFUNCTION("if(or(QuotesCheckJudge="""",and(QuotesCheckJudge = ""primeiro"", QuotesCheckChallengeRecommendation1 &lt;&gt; """")), filter('Quotes-Check'!E484:F484, 'Quotes-Check'!E484:F484&lt;&gt;""glugluieie""),if(and(QuotesCheckJudge = ""segundo"", QuotesCheckChallengeRecommend"&amp;"ation2 &lt;&gt; """"), filter('Quotes-Check'!I484:J484, 'Quotes-Check'!I484:J484&lt;&gt;""glugluieie""),""""))"),"challenge")</f>
        <v>challenge</v>
      </c>
      <c r="F484" s="22" t="str">
        <f>IFERROR(__xludf.DUMMYFUNCTION("""COMPUTED_VALUE"""),"Now we're questioning ourselves. What else did we bring in? We may add some things about a bit of telemetry. So they have a bit of telemetry because they have lives, but we put some emphasis on it.")</f>
        <v>Now we're questioning ourselves. What else did we bring in? We may add some things about a bit of telemetry. So they have a bit of telemetry because they have lives, but we put some emphasis on it.</v>
      </c>
      <c r="G484" s="22" t="str">
        <f>if(QuotesCheckJudgeAbstract&lt;&gt;"",QuotesCheckJudgeAbstract,if(or(QuotesCheckJudge="",and(QuotesCheckJudge = "primeiro", QuotesCheckChallengeRecommendation1 &lt;&gt; "")), QuotesCheckAbstract1,if(and(QuotesCheckJudge = "segundo", QuotesCheckChallengeRecommendation2 &lt;&gt; ""), QuotesCheckAbstract2,"")))</f>
        <v>Hard to decide whether to teach telemetry or not.</v>
      </c>
    </row>
    <row r="485">
      <c r="A485" s="22">
        <f>IFERROR(__xludf.DUMMYFUNCTION("if(or(QuotesCheckJudge="""",and(QuotesCheckJudge = ""primeiro"", QuotesCheckChallengeRecommendation1 &lt;&gt; """"),and(QuotesCheckJudge = ""segundo"", QuotesCheckChallengeRecommendation2 &lt;&gt; """")), filter('Quotes-Check'!A485:D485, 'Quotes-Check'!A485:D485&lt;&gt;""g"&amp;"lugluieie""),"""")"),12.0)</f>
        <v>12</v>
      </c>
      <c r="B485" s="22">
        <f>IFERROR(__xludf.DUMMYFUNCTION("""COMPUTED_VALUE"""),14.0)</f>
        <v>14</v>
      </c>
      <c r="C485" s="2" t="str">
        <f>IFERROR(__xludf.DUMMYFUNCTION("""COMPUTED_VALUE"""),"R1 / R3")</f>
        <v>R1 / R3</v>
      </c>
      <c r="D485" s="22" t="str">
        <f>IFERROR(__xludf.DUMMYFUNCTION("""COMPUTED_VALUE"""),"General Challenges and Recommendations")</f>
        <v>General Challenges and Recommendations</v>
      </c>
      <c r="E485" s="46" t="str">
        <f>IFERROR(__xludf.DUMMYFUNCTION("if(or(QuotesCheckJudge="""",and(QuotesCheckJudge = ""primeiro"", QuotesCheckChallengeRecommendation1 &lt;&gt; """")), filter('Quotes-Check'!E485:F485, 'Quotes-Check'!E485:F485&lt;&gt;""glugluieie""),if(and(QuotesCheckJudge = ""segundo"", QuotesCheckChallengeRecommend"&amp;"ation2 &lt;&gt; """"), filter('Quotes-Check'!I485:J485, 'Quotes-Check'!I485:J485&lt;&gt;""glugluieie""),""""))"),"recommendation")</f>
        <v>recommendation</v>
      </c>
      <c r="F485" s="22" t="str">
        <f>IFERROR(__xludf.DUMMYFUNCTION("""COMPUTED_VALUE"""),"We have built a little simulator that is quite simple, but that's easy to traverse the whole, essentially the main phases of DevOps. ")</f>
        <v>We have built a little simulator that is quite simple, but that's easy to traverse the whole, essentially the main phases of DevOps. </v>
      </c>
      <c r="G485" s="22" t="str">
        <f>if(QuotesCheckJudgeAbstract&lt;&gt;"",QuotesCheckJudgeAbstract,if(or(QuotesCheckJudge="",and(QuotesCheckJudge = "primeiro", QuotesCheckChallengeRecommendation1 &lt;&gt; "")), QuotesCheckAbstract1,if(and(QuotesCheckJudge = "segundo", QuotesCheckChallengeRecommendation2 &lt;&gt; ""), QuotesCheckAbstract2,"")))</f>
        <v>Use a simple application to walk through all DevOps concepts</v>
      </c>
    </row>
    <row r="486">
      <c r="A486" s="22">
        <f>IFERROR(__xludf.DUMMYFUNCTION("if(or(QuotesCheckJudge="""",and(QuotesCheckJudge = ""primeiro"", QuotesCheckChallengeRecommendation1 &lt;&gt; """"),and(QuotesCheckJudge = ""segundo"", QuotesCheckChallengeRecommendation2 &lt;&gt; """")), filter('Quotes-Check'!A486:D486, 'Quotes-Check'!A486:D486&lt;&gt;""g"&amp;"lugluieie""),"""")"),12.0)</f>
        <v>12</v>
      </c>
      <c r="B486" s="22">
        <f>IFERROR(__xludf.DUMMYFUNCTION("""COMPUTED_VALUE"""),15.0)</f>
        <v>15</v>
      </c>
      <c r="C486" s="2" t="str">
        <f>IFERROR(__xludf.DUMMYFUNCTION("""COMPUTED_VALUE"""),"R1 / R3")</f>
        <v>R1 / R3</v>
      </c>
      <c r="D486" s="22" t="str">
        <f>IFERROR(__xludf.DUMMYFUNCTION("""COMPUTED_VALUE"""),"General Challenges and Recommendations")</f>
        <v>General Challenges and Recommendations</v>
      </c>
      <c r="E486" s="46" t="str">
        <f>IFERROR(__xludf.DUMMYFUNCTION("if(or(QuotesCheckJudge="""",and(QuotesCheckJudge = ""primeiro"", QuotesCheckChallengeRecommendation1 &lt;&gt; """")), filter('Quotes-Check'!E486:F486, 'Quotes-Check'!E486:F486&lt;&gt;""glugluieie""),if(and(QuotesCheckJudge = ""segundo"", QuotesCheckChallengeRecommend"&amp;"ation2 &lt;&gt; """"), filter('Quotes-Check'!I486:J486, 'Quotes-Check'!I486:J486&lt;&gt;""glugluieie""),""""))"),"recommendation")</f>
        <v>recommendation</v>
      </c>
      <c r="F486" s="22" t="str">
        <f>IFERROR(__xludf.DUMMYFUNCTION("""COMPUTED_VALUE""")," they need to do concrete things ... it's to be able to traverse the whole thing without necessarily going in depth about all of these things.")</f>
        <v> they need to do concrete things ... it's to be able to traverse the whole thing without necessarily going in depth about all of these things.</v>
      </c>
      <c r="G486" s="22" t="str">
        <f>if(QuotesCheckJudgeAbstract&lt;&gt;"",QuotesCheckJudgeAbstract,if(or(QuotesCheckJudge="",and(QuotesCheckJudge = "primeiro", QuotesCheckChallengeRecommendation1 &lt;&gt; "")), QuotesCheckAbstract1,if(and(QuotesCheckJudge = "segundo", QuotesCheckChallengeRecommendation2 &lt;&gt; ""), QuotesCheckAbstract2,"")))</f>
        <v>Do concrete things without necessarily going in depth about all.</v>
      </c>
    </row>
    <row r="487">
      <c r="A487" s="22">
        <f>IFERROR(__xludf.DUMMYFUNCTION("if(or(QuotesCheckJudge="""",and(QuotesCheckJudge = ""primeiro"", QuotesCheckChallengeRecommendation1 &lt;&gt; """"),and(QuotesCheckJudge = ""segundo"", QuotesCheckChallengeRecommendation2 &lt;&gt; """")), filter('Quotes-Check'!A487:D487, 'Quotes-Check'!A487:D487&lt;&gt;""g"&amp;"lugluieie""),"""")"),12.0)</f>
        <v>12</v>
      </c>
      <c r="B487" s="22">
        <f>IFERROR(__xludf.DUMMYFUNCTION("""COMPUTED_VALUE"""),16.0)</f>
        <v>16</v>
      </c>
      <c r="C487" s="2" t="str">
        <f>IFERROR(__xludf.DUMMYFUNCTION("""COMPUTED_VALUE"""),"R1 / R2")</f>
        <v>R1 / R2</v>
      </c>
      <c r="D487" s="22" t="str">
        <f>IFERROR(__xludf.DUMMYFUNCTION("""COMPUTED_VALUE"""),"General Challenges and Recommendations")</f>
        <v>General Challenges and Recommendations</v>
      </c>
      <c r="E487" s="46" t="str">
        <f>IFERROR(__xludf.DUMMYFUNCTION("if(or(QuotesCheckJudge="""",and(QuotesCheckJudge = ""primeiro"", QuotesCheckChallengeRecommendation1 &lt;&gt; """")), filter('Quotes-Check'!E487:F487, 'Quotes-Check'!E487:F487&lt;&gt;""glugluieie""),if(and(QuotesCheckJudge = ""segundo"", QuotesCheckChallengeRecommend"&amp;"ation2 &lt;&gt; """"), filter('Quotes-Check'!I487:J487, 'Quotes-Check'!I487:J487&lt;&gt;""glugluieie""),""""))"),"recommendation")</f>
        <v>recommendation</v>
      </c>
      <c r="F487" s="22" t="str">
        <f>IFERROR(__xludf.DUMMYFUNCTION("""COMPUTED_VALUE"""),"I need very solid, uh, research. It's a sorry, a lab assistance. The people responsible for the labs of course, assistants that that can actually deal with the students. So I'm lucky to have students and have good industrial experience, uh, to do that. ")</f>
        <v>I need very solid, uh, research. It's a sorry, a lab assistance. The people responsible for the labs of course, assistants that that can actually deal with the students. So I'm lucky to have students and have good industrial experience, uh, to do that. </v>
      </c>
      <c r="G487" s="22" t="str">
        <f>if(QuotesCheckJudgeAbstract&lt;&gt;"",QuotesCheckJudgeAbstract,if(or(QuotesCheckJudge="",and(QuotesCheckJudge = "primeiro", QuotesCheckChallengeRecommendation1 &lt;&gt; "")), QuotesCheckAbstract1,if(and(QuotesCheckJudge = "segundo", QuotesCheckChallengeRecommendation2 &lt;&gt; ""), QuotesCheckAbstract2,"")))</f>
        <v>The teacher assistants need to be very qualified.</v>
      </c>
    </row>
    <row r="488">
      <c r="A488" s="22">
        <f>IFERROR(__xludf.DUMMYFUNCTION("if(or(QuotesCheckJudge="""",and(QuotesCheckJudge = ""primeiro"", QuotesCheckChallengeRecommendation1 &lt;&gt; """"),and(QuotesCheckJudge = ""segundo"", QuotesCheckChallengeRecommendation2 &lt;&gt; """")), filter('Quotes-Check'!A488:D488, 'Quotes-Check'!A488:D488&lt;&gt;""g"&amp;"lugluieie""),"""")"),12.0)</f>
        <v>12</v>
      </c>
      <c r="B488" s="22">
        <f>IFERROR(__xludf.DUMMYFUNCTION("""COMPUTED_VALUE"""),16.0)</f>
        <v>16</v>
      </c>
      <c r="C488" s="2" t="str">
        <f>IFERROR(__xludf.DUMMYFUNCTION("""COMPUTED_VALUE"""),"R1 / R2")</f>
        <v>R1 / R2</v>
      </c>
      <c r="D488" s="22" t="str">
        <f>IFERROR(__xludf.DUMMYFUNCTION("""COMPUTED_VALUE"""),"General Challenges and Recommendations")</f>
        <v>General Challenges and Recommendations</v>
      </c>
      <c r="E488" s="46" t="str">
        <f>IFERROR(__xludf.DUMMYFUNCTION("if(or(QuotesCheckJudge="""",and(QuotesCheckJudge = ""primeiro"", QuotesCheckChallengeRecommendation1 &lt;&gt; """")), filter('Quotes-Check'!E488:F488, 'Quotes-Check'!E488:F488&lt;&gt;""glugluieie""),if(and(QuotesCheckJudge = ""segundo"", QuotesCheckChallengeRecommend"&amp;"ation2 &lt;&gt; """"), filter('Quotes-Check'!I488:J488, 'Quotes-Check'!I488:J488&lt;&gt;""glugluieie""),""""))"),"recommendation")</f>
        <v>recommendation</v>
      </c>
      <c r="F488" s="22" t="str">
        <f>IFERROR(__xludf.DUMMYFUNCTION("""COMPUTED_VALUE"""),"But when we touch kubernetes, for example, the students have located impression that they use, they that don't quite understand it, but I have to remind them that our goal here is not to get in depth, but I still believe that there's value in touching it."&amp;" So if they get to the industry, it's not something that is completely from another space.")</f>
        <v>But when we touch kubernetes, for example, the students have located impression that they use, they that don't quite understand it, but I have to remind them that our goal here is not to get in depth, but I still believe that there's value in touching it. So if they get to the industry, it's not something that is completely from another space.</v>
      </c>
      <c r="G488" s="22" t="str">
        <f>if(QuotesCheckJudgeAbstract&lt;&gt;"",QuotesCheckJudgeAbstract,if(or(QuotesCheckJudge="",and(QuotesCheckJudge = "primeiro", QuotesCheckChallengeRecommendation1 &lt;&gt; "")), QuotesCheckAbstract1,if(and(QuotesCheckJudge = "segundo", QuotesCheckChallengeRecommendation2 &lt;&gt; ""), QuotesCheckAbstract2,"")))</f>
        <v>Do not teach deeply some hard technologies like Kubernetes.</v>
      </c>
    </row>
    <row r="489">
      <c r="A489" s="22">
        <f>IFERROR(__xludf.DUMMYFUNCTION("if(or(QuotesCheckJudge="""",and(QuotesCheckJudge = ""primeiro"", QuotesCheckChallengeRecommendation1 &lt;&gt; """"),and(QuotesCheckJudge = ""segundo"", QuotesCheckChallengeRecommendation2 &lt;&gt; """")), filter('Quotes-Check'!A489:D489, 'Quotes-Check'!A489:D489&lt;&gt;""g"&amp;"lugluieie""),"""")"),12.0)</f>
        <v>12</v>
      </c>
      <c r="B489" s="22">
        <f>IFERROR(__xludf.DUMMYFUNCTION("""COMPUTED_VALUE"""),17.0)</f>
        <v>17</v>
      </c>
      <c r="C489" s="2" t="str">
        <f>IFERROR(__xludf.DUMMYFUNCTION("""COMPUTED_VALUE"""),"R2 / R3")</f>
        <v>R2 / R3</v>
      </c>
      <c r="D489" s="22" t="str">
        <f>IFERROR(__xludf.DUMMYFUNCTION("""COMPUTED_VALUE"""),"Environment Setup")</f>
        <v>Environment Setup</v>
      </c>
      <c r="E489" s="46" t="str">
        <f>IFERROR(__xludf.DUMMYFUNCTION("if(or(QuotesCheckJudge="""",and(QuotesCheckJudge = ""primeiro"", QuotesCheckChallengeRecommendation1 &lt;&gt; """")), filter('Quotes-Check'!E489:F489, 'Quotes-Check'!E489:F489&lt;&gt;""glugluieie""),if(and(QuotesCheckJudge = ""segundo"", QuotesCheckChallengeRecommend"&amp;"ation2 &lt;&gt; """"), filter('Quotes-Check'!I489:J489, 'Quotes-Check'!I489:J489&lt;&gt;""glugluieie""),""""))"),"challenge")</f>
        <v>challenge</v>
      </c>
      <c r="F489" s="22" t="str">
        <f>IFERROR(__xludf.DUMMYFUNCTION("""COMPUTED_VALUE"""),"JIRA is quite difficult to use in industry context, um, just because of the license model then. So it's, it's too complex.")</f>
        <v>JIRA is quite difficult to use in industry context, um, just because of the license model then. So it's, it's too complex.</v>
      </c>
      <c r="G489" s="22" t="str">
        <f>if(QuotesCheckJudgeAbstract&lt;&gt;"",QuotesCheckJudgeAbstract,if(or(QuotesCheckJudge="",and(QuotesCheckJudge = "primeiro", QuotesCheckChallengeRecommendation1 &lt;&gt; "")), QuotesCheckAbstract1,if(and(QuotesCheckJudge = "segundo", QuotesCheckChallengeRecommendation2 &lt;&gt; ""), QuotesCheckAbstract2,"")))</f>
        <v>It's difficult to use Jira lifecycle management tool because of its licence model.</v>
      </c>
    </row>
    <row r="490">
      <c r="A490" s="22">
        <f>IFERROR(__xludf.DUMMYFUNCTION("if(or(QuotesCheckJudge="""",and(QuotesCheckJudge = ""primeiro"", QuotesCheckChallengeRecommendation1 &lt;&gt; """"),and(QuotesCheckJudge = ""segundo"", QuotesCheckChallengeRecommendation2 &lt;&gt; """")), filter('Quotes-Check'!A490:D490, 'Quotes-Check'!A490:D490&lt;&gt;""g"&amp;"lugluieie""),"""")"),12.0)</f>
        <v>12</v>
      </c>
      <c r="B490" s="22">
        <f>IFERROR(__xludf.DUMMYFUNCTION("""COMPUTED_VALUE"""),17.0)</f>
        <v>17</v>
      </c>
      <c r="C490" s="2" t="str">
        <f>IFERROR(__xludf.DUMMYFUNCTION("""COMPUTED_VALUE"""),"R2 / R3")</f>
        <v>R2 / R3</v>
      </c>
      <c r="D490" s="22" t="str">
        <f>IFERROR(__xludf.DUMMYFUNCTION("""COMPUTED_VALUE"""),"Environment Setup")</f>
        <v>Environment Setup</v>
      </c>
      <c r="E490" s="46" t="str">
        <f>IFERROR(__xludf.DUMMYFUNCTION("if(or(QuotesCheckJudge="""",and(QuotesCheckJudge = ""primeiro"", QuotesCheckChallengeRecommendation1 &lt;&gt; """")), filter('Quotes-Check'!E490:F490, 'Quotes-Check'!E490:F490&lt;&gt;""glugluieie""),if(and(QuotesCheckJudge = ""segundo"", QuotesCheckChallengeRecommend"&amp;"ation2 &lt;&gt; """"), filter('Quotes-Check'!I490:J490, 'Quotes-Check'!I490:J490&lt;&gt;""glugluieie""),""""))"),"recommendation")</f>
        <v>recommendation</v>
      </c>
      <c r="F490" s="22" t="str">
        <f>IFERROR(__xludf.DUMMYFUNCTION("""COMPUTED_VALUE"""),"so I chose, um, tuleap, which is an open source that was missing in mainly DevOps in France.")</f>
        <v>so I chose, um, tuleap, which is an open source that was missing in mainly DevOps in France.</v>
      </c>
      <c r="G490" s="22" t="str">
        <f>if(QuotesCheckJudgeAbstract&lt;&gt;"",QuotesCheckJudgeAbstract,if(or(QuotesCheckJudge="",and(QuotesCheckJudge = "primeiro", QuotesCheckChallengeRecommendation1 &lt;&gt; "")), QuotesCheckAbstract1,if(and(QuotesCheckJudge = "segundo", QuotesCheckChallengeRecommendation2 &lt;&gt; ""), QuotesCheckAbstract2,"")))</f>
        <v>Use Tuleap for lifecycle management</v>
      </c>
    </row>
    <row r="491">
      <c r="A491" s="22">
        <f>IFERROR(__xludf.DUMMYFUNCTION("if(or(QuotesCheckJudge="""",and(QuotesCheckJudge = ""primeiro"", QuotesCheckChallengeRecommendation1 &lt;&gt; """"),and(QuotesCheckJudge = ""segundo"", QuotesCheckChallengeRecommendation2 &lt;&gt; """")), filter('Quotes-Check'!A491:D491, 'Quotes-Check'!A491:D491&lt;&gt;""g"&amp;"lugluieie""),"""")"),12.0)</f>
        <v>12</v>
      </c>
      <c r="B491" s="22">
        <f>IFERROR(__xludf.DUMMYFUNCTION("""COMPUTED_VALUE"""),17.0)</f>
        <v>17</v>
      </c>
      <c r="C491" s="2" t="str">
        <f>IFERROR(__xludf.DUMMYFUNCTION("""COMPUTED_VALUE"""),"R2 / R3")</f>
        <v>R2 / R3</v>
      </c>
      <c r="D491" s="22" t="str">
        <f>IFERROR(__xludf.DUMMYFUNCTION("""COMPUTED_VALUE"""),"Environment Setup")</f>
        <v>Environment Setup</v>
      </c>
      <c r="E491" s="46" t="str">
        <f>IFERROR(__xludf.DUMMYFUNCTION("if(or(QuotesCheckJudge="""",and(QuotesCheckJudge = ""primeiro"", QuotesCheckChallengeRecommendation1 &lt;&gt; """")), filter('Quotes-Check'!E491:F491, 'Quotes-Check'!E491:F491&lt;&gt;""glugluieie""),if(and(QuotesCheckJudge = ""segundo"", QuotesCheckChallengeRecommend"&amp;"ation2 &lt;&gt; """"), filter('Quotes-Check'!I491:J491, 'Quotes-Check'!I491:J491&lt;&gt;""glugluieie""),""""))"),"recommendation")</f>
        <v>recommendation</v>
      </c>
      <c r="F491" s="22" t="str">
        <f>IFERROR(__xludf.DUMMYFUNCTION("""COMPUTED_VALUE"""),"we try to make it minimal")</f>
        <v>we try to make it minimal</v>
      </c>
      <c r="G491" s="22" t="str">
        <f>if(QuotesCheckJudgeAbstract&lt;&gt;"",QuotesCheckJudgeAbstract,if(or(QuotesCheckJudge="",and(QuotesCheckJudge = "primeiro", QuotesCheckChallengeRecommendation1 &lt;&gt; "")), QuotesCheckAbstract1,if(and(QuotesCheckJudge = "segundo", QuotesCheckChallengeRecommendation2 &lt;&gt; ""), QuotesCheckAbstract2,"")))</f>
        <v>Try to make the environment setup minimal.</v>
      </c>
    </row>
    <row r="492">
      <c r="A492" s="22">
        <f>IFERROR(__xludf.DUMMYFUNCTION("if(or(QuotesCheckJudge="""",and(QuotesCheckJudge = ""primeiro"", QuotesCheckChallengeRecommendation1 &lt;&gt; """"),and(QuotesCheckJudge = ""segundo"", QuotesCheckChallengeRecommendation2 &lt;&gt; """")), filter('Quotes-Check'!A492:D492, 'Quotes-Check'!A492:D492&lt;&gt;""g"&amp;"lugluieie""),"""")"),12.0)</f>
        <v>12</v>
      </c>
      <c r="B492" s="22">
        <f>IFERROR(__xludf.DUMMYFUNCTION("""COMPUTED_VALUE"""),17.0)</f>
        <v>17</v>
      </c>
      <c r="C492" s="2" t="str">
        <f>IFERROR(__xludf.DUMMYFUNCTION("""COMPUTED_VALUE"""),"R2 / R3")</f>
        <v>R2 / R3</v>
      </c>
      <c r="D492" s="22" t="str">
        <f>IFERROR(__xludf.DUMMYFUNCTION("""COMPUTED_VALUE"""),"Environment Setup")</f>
        <v>Environment Setup</v>
      </c>
      <c r="E492" s="46" t="str">
        <f>IFERROR(__xludf.DUMMYFUNCTION("if(or(QuotesCheckJudge="""",and(QuotesCheckJudge = ""primeiro"", QuotesCheckChallengeRecommendation1 &lt;&gt; """")), filter('Quotes-Check'!E492:F492, 'Quotes-Check'!E492:F492&lt;&gt;""glugluieie""),if(and(QuotesCheckJudge = ""segundo"", QuotesCheckChallengeRecommend"&amp;"ation2 &lt;&gt; """"), filter('Quotes-Check'!I492:J492, 'Quotes-Check'!I492:J492&lt;&gt;""glugluieie""),""""))"),"challenge")</f>
        <v>challenge</v>
      </c>
      <c r="F492" s="22" t="str">
        <f>IFERROR(__xludf.DUMMYFUNCTION("""COMPUTED_VALUE"""),"So one of the challenge from an environment point of view is to get something that students can relate to ")</f>
        <v>So one of the challenge from an environment point of view is to get something that students can relate to </v>
      </c>
      <c r="G492" s="22" t="str">
        <f>if(QuotesCheckJudgeAbstract&lt;&gt;"",QuotesCheckJudgeAbstract,if(or(QuotesCheckJudge="",and(QuotesCheckJudge = "primeiro", QuotesCheckChallengeRecommendation1 &lt;&gt; "")), QuotesCheckAbstract1,if(and(QuotesCheckJudge = "segundo", QuotesCheckChallengeRecommendation2 &lt;&gt; ""), QuotesCheckAbstract2,"")))</f>
        <v>It's hard to find something students can relate to, from a environment point of view.</v>
      </c>
    </row>
    <row r="493">
      <c r="A493" s="22">
        <f>IFERROR(__xludf.DUMMYFUNCTION("if(or(QuotesCheckJudge="""",and(QuotesCheckJudge = ""primeiro"", QuotesCheckChallengeRecommendation1 &lt;&gt; """"),and(QuotesCheckJudge = ""segundo"", QuotesCheckChallengeRecommendation2 &lt;&gt; """")), filter('Quotes-Check'!A493:D493, 'Quotes-Check'!A493:D493&lt;&gt;""g"&amp;"lugluieie""),"""")"),12.0)</f>
        <v>12</v>
      </c>
      <c r="B493" s="22">
        <f>IFERROR(__xludf.DUMMYFUNCTION("""COMPUTED_VALUE"""),18.0)</f>
        <v>18</v>
      </c>
      <c r="C493" s="2" t="str">
        <f>IFERROR(__xludf.DUMMYFUNCTION("""COMPUTED_VALUE"""),"R1 / R3")</f>
        <v>R1 / R3</v>
      </c>
      <c r="D493" s="22" t="str">
        <f>IFERROR(__xludf.DUMMYFUNCTION("""COMPUTED_VALUE"""),"Environment Setup")</f>
        <v>Environment Setup</v>
      </c>
      <c r="E493" s="46" t="str">
        <f>IFERROR(__xludf.DUMMYFUNCTION("if(or(QuotesCheckJudge="""",and(QuotesCheckJudge = ""primeiro"", QuotesCheckChallengeRecommendation1 &lt;&gt; """")), filter('Quotes-Check'!E493:F493, 'Quotes-Check'!E493:F493&lt;&gt;""glugluieie""),if(and(QuotesCheckJudge = ""segundo"", QuotesCheckChallengeRecommend"&amp;"ation2 &lt;&gt; """"), filter('Quotes-Check'!I493:J493, 'Quotes-Check'!I493:J493&lt;&gt;""glugluieie""),""""))"),"recommendation")</f>
        <v>recommendation</v>
      </c>
      <c r="F493" s="22" t="str">
        <f>IFERROR(__xludf.DUMMYFUNCTION("""COMPUTED_VALUE"""),"they have a real experience with respect to Amazon, it's pretty simple, and you can get a free Amazon, you just have to register. ")</f>
        <v>they have a real experience with respect to Amazon, it's pretty simple, and you can get a free Amazon, you just have to register. </v>
      </c>
      <c r="G493" s="22" t="str">
        <f>if(QuotesCheckJudgeAbstract&lt;&gt;"",QuotesCheckJudgeAbstract,if(or(QuotesCheckJudge="",and(QuotesCheckJudge = "primeiro", QuotesCheckChallengeRecommendation1 &lt;&gt; "")), QuotesCheckAbstract1,if(and(QuotesCheckJudge = "segundo", QuotesCheckChallengeRecommendation2 &lt;&gt; ""), QuotesCheckAbstract2,"")))</f>
        <v>Amazon cloud provider has a free plan helpful to students</v>
      </c>
    </row>
    <row r="494">
      <c r="A494" s="22">
        <f>IFERROR(__xludf.DUMMYFUNCTION("if(or(QuotesCheckJudge="""",and(QuotesCheckJudge = ""primeiro"", QuotesCheckChallengeRecommendation1 &lt;&gt; """"),and(QuotesCheckJudge = ""segundo"", QuotesCheckChallengeRecommendation2 &lt;&gt; """")), filter('Quotes-Check'!A494:D494, 'Quotes-Check'!A494:D494&lt;&gt;""g"&amp;"lugluieie""),"""")"),12.0)</f>
        <v>12</v>
      </c>
      <c r="B494" s="22">
        <f>IFERROR(__xludf.DUMMYFUNCTION("""COMPUTED_VALUE"""),18.0)</f>
        <v>18</v>
      </c>
      <c r="C494" s="2" t="str">
        <f>IFERROR(__xludf.DUMMYFUNCTION("""COMPUTED_VALUE"""),"R1 / R3")</f>
        <v>R1 / R3</v>
      </c>
      <c r="D494" s="22" t="str">
        <f>IFERROR(__xludf.DUMMYFUNCTION("""COMPUTED_VALUE"""),"Environment Setup")</f>
        <v>Environment Setup</v>
      </c>
      <c r="E494" s="46" t="str">
        <f>IFERROR(__xludf.DUMMYFUNCTION("if(or(QuotesCheckJudge="""",and(QuotesCheckJudge = ""primeiro"", QuotesCheckChallengeRecommendation1 &lt;&gt; """")), filter('Quotes-Check'!E494:F494, 'Quotes-Check'!E494:F494&lt;&gt;""glugluieie""),if(and(QuotesCheckJudge = ""segundo"", QuotesCheckChallengeRecommend"&amp;"ation2 &lt;&gt; """"), filter('Quotes-Check'!I494:J494, 'Quotes-Check'!I494:J494&lt;&gt;""glugluieie""),""""))"),"recommendation")</f>
        <v>recommendation</v>
      </c>
      <c r="F494" s="22" t="str">
        <f>IFERROR(__xludf.DUMMYFUNCTION("""COMPUTED_VALUE"""),"they use GitHub. .. The only thing we really need is that the students give us, uh, access to their accounts.")</f>
        <v>they use GitHub. .. The only thing we really need is that the students give us, uh, access to their accounts.</v>
      </c>
      <c r="G494" s="22" t="str">
        <f>if(QuotesCheckJudgeAbstract&lt;&gt;"",QuotesCheckJudgeAbstract,if(or(QuotesCheckJudge="",and(QuotesCheckJudge = "primeiro", QuotesCheckChallengeRecommendation1 &lt;&gt; "")), QuotesCheckAbstract1,if(and(QuotesCheckJudge = "segundo", QuotesCheckChallengeRecommendation2 &lt;&gt; ""), QuotesCheckAbstract2,"")))</f>
        <v>Use Github with access to students accounts repositories.</v>
      </c>
    </row>
    <row r="495">
      <c r="A495" s="22">
        <f>IFERROR(__xludf.DUMMYFUNCTION("if(or(QuotesCheckJudge="""",and(QuotesCheckJudge = ""primeiro"", QuotesCheckChallengeRecommendation1 &lt;&gt; """"),and(QuotesCheckJudge = ""segundo"", QuotesCheckChallengeRecommendation2 &lt;&gt; """")), filter('Quotes-Check'!A495:D495, 'Quotes-Check'!A495:D495&lt;&gt;""g"&amp;"lugluieie""),"""")"),12.0)</f>
        <v>12</v>
      </c>
      <c r="B495" s="22">
        <f>IFERROR(__xludf.DUMMYFUNCTION("""COMPUTED_VALUE"""),18.0)</f>
        <v>18</v>
      </c>
      <c r="C495" s="2" t="str">
        <f>IFERROR(__xludf.DUMMYFUNCTION("""COMPUTED_VALUE"""),"R1 / R3")</f>
        <v>R1 / R3</v>
      </c>
      <c r="D495" s="22" t="str">
        <f>IFERROR(__xludf.DUMMYFUNCTION("""COMPUTED_VALUE"""),"Environment Setup")</f>
        <v>Environment Setup</v>
      </c>
      <c r="E495" s="46" t="str">
        <f>IFERROR(__xludf.DUMMYFUNCTION("if(or(QuotesCheckJudge="""",and(QuotesCheckJudge = ""primeiro"", QuotesCheckChallengeRecommendation1 &lt;&gt; """")), filter('Quotes-Check'!E495:F495, 'Quotes-Check'!E495:F495&lt;&gt;""glugluieie""),if(and(QuotesCheckJudge = ""segundo"", QuotesCheckChallengeRecommend"&amp;"ation2 &lt;&gt; """"), filter('Quotes-Check'!I495:J495, 'Quotes-Check'!I495:J495&lt;&gt;""glugluieie""),""""))"),"recommendation")</f>
        <v>recommendation</v>
      </c>
      <c r="F495" s="22" t="str">
        <f>IFERROR(__xludf.DUMMYFUNCTION("""COMPUTED_VALUE"""),"we enforce the usage of, of the, of the Kanban, because it's an important practice in devops to make the work visible and stuff.")</f>
        <v>we enforce the usage of, of the, of the Kanban, because it's an important practice in devops to make the work visible and stuff.</v>
      </c>
      <c r="G495" s="22" t="str">
        <f>if(QuotesCheckJudgeAbstract&lt;&gt;"",QuotesCheckJudgeAbstract,if(or(QuotesCheckJudge="",and(QuotesCheckJudge = "primeiro", QuotesCheckChallengeRecommendation1 &lt;&gt; "")), QuotesCheckAbstract1,if(and(QuotesCheckJudge = "segundo", QuotesCheckChallengeRecommendation2 &lt;&gt; ""), QuotesCheckAbstract2,"")))</f>
        <v>Use Kanban to make the work visible in devops.</v>
      </c>
    </row>
    <row r="496">
      <c r="A496" s="22">
        <f>IFERROR(__xludf.DUMMYFUNCTION("if(or(QuotesCheckJudge="""",and(QuotesCheckJudge = ""primeiro"", QuotesCheckChallengeRecommendation1 &lt;&gt; """"),and(QuotesCheckJudge = ""segundo"", QuotesCheckChallengeRecommendation2 &lt;&gt; """")), filter('Quotes-Check'!A496:D496, 'Quotes-Check'!A496:D496&lt;&gt;""g"&amp;"lugluieie""),"""")"),12.0)</f>
        <v>12</v>
      </c>
      <c r="B496" s="22">
        <f>IFERROR(__xludf.DUMMYFUNCTION("""COMPUTED_VALUE"""),18.0)</f>
        <v>18</v>
      </c>
      <c r="C496" s="2" t="str">
        <f>IFERROR(__xludf.DUMMYFUNCTION("""COMPUTED_VALUE"""),"R1 / R3")</f>
        <v>R1 / R3</v>
      </c>
      <c r="D496" s="22" t="str">
        <f>IFERROR(__xludf.DUMMYFUNCTION("""COMPUTED_VALUE"""),"Environment Setup")</f>
        <v>Environment Setup</v>
      </c>
      <c r="E496" s="46" t="str">
        <f>IFERROR(__xludf.DUMMYFUNCTION("if(or(QuotesCheckJudge="""",and(QuotesCheckJudge = ""primeiro"", QuotesCheckChallengeRecommendation1 &lt;&gt; """")), filter('Quotes-Check'!E496:F496, 'Quotes-Check'!E496:F496&lt;&gt;""glugluieie""),if(and(QuotesCheckJudge = ""segundo"", QuotesCheckChallengeRecommend"&amp;"ation2 &lt;&gt; """"), filter('Quotes-Check'!I496:J496, 'Quotes-Check'!I496:J496&lt;&gt;""glugluieie""),""""))"),"recommendation")</f>
        <v>recommendation</v>
      </c>
      <c r="F496" s="22" t="str">
        <f>IFERROR(__xludf.DUMMYFUNCTION("""COMPUTED_VALUE"""),"if you have lab assistants that are, you know, good, it's pretty easy to manage.")</f>
        <v>if you have lab assistants that are, you know, good, it's pretty easy to manage.</v>
      </c>
      <c r="G496" s="22" t="str">
        <f>if(QuotesCheckJudgeAbstract&lt;&gt;"",QuotesCheckJudgeAbstract,if(or(QuotesCheckJudge="",and(QuotesCheckJudge = "primeiro", QuotesCheckChallengeRecommendation1 &lt;&gt; "")), QuotesCheckAbstract1,if(and(QuotesCheckJudge = "segundo", QuotesCheckChallengeRecommendation2 &lt;&gt; ""), QuotesCheckAbstract2,"")))</f>
        <v>It is good to have teacher assistants.</v>
      </c>
    </row>
    <row r="497">
      <c r="A497" s="22">
        <f>IFERROR(__xludf.DUMMYFUNCTION("if(or(QuotesCheckJudge="""",and(QuotesCheckJudge = ""primeiro"", QuotesCheckChallengeRecommendation1 &lt;&gt; """"),and(QuotesCheckJudge = ""segundo"", QuotesCheckChallengeRecommendation2 &lt;&gt; """")), filter('Quotes-Check'!A497:D497, 'Quotes-Check'!A497:D497&lt;&gt;""g"&amp;"lugluieie""),"""")"),12.0)</f>
        <v>12</v>
      </c>
      <c r="B497" s="22">
        <f>IFERROR(__xludf.DUMMYFUNCTION("""COMPUTED_VALUE"""),19.0)</f>
        <v>19</v>
      </c>
      <c r="C497" s="2" t="str">
        <f>IFERROR(__xludf.DUMMYFUNCTION("""COMPUTED_VALUE"""),"R1 / R3")</f>
        <v>R1 / R3</v>
      </c>
      <c r="D497" s="22" t="str">
        <f>IFERROR(__xludf.DUMMYFUNCTION("""COMPUTED_VALUE"""),"Environment Setup")</f>
        <v>Environment Setup</v>
      </c>
      <c r="E497" s="46" t="str">
        <f>IFERROR(__xludf.DUMMYFUNCTION("if(or(QuotesCheckJudge="""",and(QuotesCheckJudge = ""primeiro"", QuotesCheckChallengeRecommendation1 &lt;&gt; """")), filter('Quotes-Check'!E497:F497, 'Quotes-Check'!E497:F497&lt;&gt;""glugluieie""),if(and(QuotesCheckJudge = ""segundo"", QuotesCheckChallengeRecommend"&amp;"ation2 &lt;&gt; """"), filter('Quotes-Check'!I497:J497, 'Quotes-Check'!I497:J497&lt;&gt;""glugluieie""),""""))"),"recommendation")</f>
        <v>recommendation</v>
      </c>
      <c r="F497" s="22" t="str">
        <f>IFERROR(__xludf.DUMMYFUNCTION("""COMPUTED_VALUE"""),"initially we were relying the, uh, admin, uh, personnel in our department, not admin, sorry, the, the engineering, uh, the, yeah, the, the infrastructure, the people that are responsible for the labs and so on. And now, since all of the students have thei"&amp;"r laptop, we try to make it as industrial as possible in lightweight as possible. So we don't need any internal support. [...] You just need this use to create their, uh, GitHub accounts. And, uh, you have to register to be able to get some AWS, uh, credi"&amp;"ts so that you can share with the students, but it's quite, it's quite easy.")</f>
        <v>initially we were relying the, uh, admin, uh, personnel in our department, not admin, sorry, the, the engineering, uh, the, yeah, the, the infrastructure, the people that are responsible for the labs and so on. And now, since all of the students have their laptop, we try to make it as industrial as possible in lightweight as possible. So we don't need any internal support. [...] You just need this use to create their, uh, GitHub accounts. And, uh, you have to register to be able to get some AWS, uh, credits so that you can share with the students, but it's quite, it's quite easy.</v>
      </c>
      <c r="G497" s="22" t="str">
        <f>if(QuotesCheckJudgeAbstract&lt;&gt;"",QuotesCheckJudgeAbstract,if(or(QuotesCheckJudge="",and(QuotesCheckJudge = "primeiro", QuotesCheckChallengeRecommendation1 &lt;&gt; "")), QuotesCheckAbstract1,if(and(QuotesCheckJudge = "segundo", QuotesCheckChallengeRecommendation2 &lt;&gt; ""), QuotesCheckAbstract2,"")))</f>
        <v>You do not need to worry about university infrastruture when the students have Github and AWS accounts and you make the environment as industrial as lightweight as possible in all of the students laptops.</v>
      </c>
    </row>
    <row r="498">
      <c r="A498" s="22">
        <f>IFERROR(__xludf.DUMMYFUNCTION("if(or(QuotesCheckJudge="""",and(QuotesCheckJudge = ""primeiro"", QuotesCheckChallengeRecommendation1 &lt;&gt; """"),and(QuotesCheckJudge = ""segundo"", QuotesCheckChallengeRecommendation2 &lt;&gt; """")), filter('Quotes-Check'!A498:D498, 'Quotes-Check'!A498:D498&lt;&gt;""g"&amp;"lugluieie""),"""")"),12.0)</f>
        <v>12</v>
      </c>
      <c r="B498" s="22">
        <f>IFERROR(__xludf.DUMMYFUNCTION("""COMPUTED_VALUE"""),20.0)</f>
        <v>20</v>
      </c>
      <c r="C498" s="2" t="str">
        <f>IFERROR(__xludf.DUMMYFUNCTION("""COMPUTED_VALUE"""),"R1 / R3")</f>
        <v>R1 / R3</v>
      </c>
      <c r="D498" s="22" t="str">
        <f>IFERROR(__xludf.DUMMYFUNCTION("""COMPUTED_VALUE"""),"Tool / Technology")</f>
        <v>Tool / Technology</v>
      </c>
      <c r="E498" s="46" t="str">
        <f>IFERROR(__xludf.DUMMYFUNCTION("if(or(QuotesCheckJudge="""",and(QuotesCheckJudge = ""primeiro"", QuotesCheckChallengeRecommendation1 &lt;&gt; """")), filter('Quotes-Check'!E498:F498, 'Quotes-Check'!E498:F498&lt;&gt;""glugluieie""),if(and(QuotesCheckJudge = ""segundo"", QuotesCheckChallengeRecommend"&amp;"ation2 &lt;&gt; """"), filter('Quotes-Check'!I498:J498, 'Quotes-Check'!I498:J498&lt;&gt;""glugluieie""),""""))"),"recommendation")</f>
        <v>recommendation</v>
      </c>
      <c r="F498" s="22" t="str">
        <f>IFERROR(__xludf.DUMMYFUNCTION("""COMPUTED_VALUE""")," So it's rather simple that we, we let them, of course use the programming language. They want to develop the application. So, you know, the department, I think traditional were quite open with respect to that in the department. Yes. Java is still used, b"&amp;"ut students, these days, don't like Java. Um, they prefer Python. They prefer different things. So for us, we don't care, right? The application we give them when we gave them the HVAC application, we give them, uh, I think they have, I should even look m"&amp;"yself, but I think we, we created two versions, one, it says Java version.")</f>
        <v> So it's rather simple that we, we let them, of course use the programming language. They want to develop the application. So, you know, the department, I think traditional were quite open with respect to that in the department. Yes. Java is still used, but students, these days, don't like Java. Um, they prefer Python. They prefer different things. So for us, we don't care, right? The application we give them when we gave them the HVAC application, we give them, uh, I think they have, I should even look myself, but I think we, we created two versions, one, it says Java version.</v>
      </c>
      <c r="G498" s="22" t="str">
        <f>if(QuotesCheckJudgeAbstract&lt;&gt;"",QuotesCheckJudgeAbstract,if(or(QuotesCheckJudge="",and(QuotesCheckJudge = "primeiro", QuotesCheckChallengeRecommendation1 &lt;&gt; "")), QuotesCheckAbstract1,if(and(QuotesCheckJudge = "segundo", QuotesCheckChallengeRecommendation2 &lt;&gt; ""), QuotesCheckAbstract2,"")))</f>
        <v>Do not force students to use a single language like Java.</v>
      </c>
    </row>
    <row r="499">
      <c r="A499" s="22">
        <f>IFERROR(__xludf.DUMMYFUNCTION("if(or(QuotesCheckJudge="""",and(QuotesCheckJudge = ""primeiro"", QuotesCheckChallengeRecommendation1 &lt;&gt; """"),and(QuotesCheckJudge = ""segundo"", QuotesCheckChallengeRecommendation2 &lt;&gt; """")), filter('Quotes-Check'!A499:D499, 'Quotes-Check'!A499:D499&lt;&gt;""g"&amp;"lugluieie""),"""")"),12.0)</f>
        <v>12</v>
      </c>
      <c r="B499" s="22">
        <f>IFERROR(__xludf.DUMMYFUNCTION("""COMPUTED_VALUE"""),21.0)</f>
        <v>21</v>
      </c>
      <c r="C499" s="2" t="str">
        <f>IFERROR(__xludf.DUMMYFUNCTION("""COMPUTED_VALUE"""),"R1 / R2")</f>
        <v>R1 / R2</v>
      </c>
      <c r="D499" s="22" t="str">
        <f>IFERROR(__xludf.DUMMYFUNCTION("""COMPUTED_VALUE"""),"Tool / Technology")</f>
        <v>Tool / Technology</v>
      </c>
      <c r="E499" s="46" t="str">
        <f>IFERROR(__xludf.DUMMYFUNCTION("if(or(QuotesCheckJudge="""",and(QuotesCheckJudge = ""primeiro"", QuotesCheckChallengeRecommendation1 &lt;&gt; """")), filter('Quotes-Check'!E499:F499, 'Quotes-Check'!E499:F499&lt;&gt;""glugluieie""),if(and(QuotesCheckJudge = ""segundo"", QuotesCheckChallengeRecommend"&amp;"ation2 &lt;&gt; """"), filter('Quotes-Check'!I499:J499, 'Quotes-Check'!I499:J499&lt;&gt;""glugluieie""),""""))"),"recommendation")</f>
        <v>recommendation</v>
      </c>
      <c r="F499" s="22" t="str">
        <f>IFERROR(__xludf.DUMMYFUNCTION("""COMPUTED_VALUE"""),"from a tooling point of view, um, for the pipeline, we, we recommend Travis CI")</f>
        <v>from a tooling point of view, um, for the pipeline, we, we recommend Travis CI</v>
      </c>
      <c r="G499" s="22" t="str">
        <f>if(QuotesCheckJudgeAbstract&lt;&gt;"",QuotesCheckJudgeAbstract,if(or(QuotesCheckJudge="",and(QuotesCheckJudge = "primeiro", QuotesCheckChallengeRecommendation1 &lt;&gt; "")), QuotesCheckAbstract1,if(and(QuotesCheckJudge = "segundo", QuotesCheckChallengeRecommendation2 &lt;&gt; ""), QuotesCheckAbstract2,"")))</f>
        <v>Use Travis CI for the pipeline.</v>
      </c>
    </row>
    <row r="500">
      <c r="A500" s="22">
        <f>IFERROR(__xludf.DUMMYFUNCTION("if(or(QuotesCheckJudge="""",and(QuotesCheckJudge = ""primeiro"", QuotesCheckChallengeRecommendation1 &lt;&gt; """"),and(QuotesCheckJudge = ""segundo"", QuotesCheckChallengeRecommendation2 &lt;&gt; """")), filter('Quotes-Check'!A500:D500, 'Quotes-Check'!A500:D500&lt;&gt;""g"&amp;"lugluieie""),"""")"),12.0)</f>
        <v>12</v>
      </c>
      <c r="B500" s="22">
        <f>IFERROR(__xludf.DUMMYFUNCTION("""COMPUTED_VALUE"""),21.0)</f>
        <v>21</v>
      </c>
      <c r="C500" s="2" t="str">
        <f>IFERROR(__xludf.DUMMYFUNCTION("""COMPUTED_VALUE"""),"R1 / R2")</f>
        <v>R1 / R2</v>
      </c>
      <c r="D500" s="22" t="str">
        <f>IFERROR(__xludf.DUMMYFUNCTION("""COMPUTED_VALUE"""),"Tool / Technology")</f>
        <v>Tool / Technology</v>
      </c>
      <c r="E500" s="46" t="str">
        <f>IFERROR(__xludf.DUMMYFUNCTION("if(or(QuotesCheckJudge="""",and(QuotesCheckJudge = ""primeiro"", QuotesCheckChallengeRecommendation1 &lt;&gt; """")), filter('Quotes-Check'!E500:F500, 'Quotes-Check'!E500:F500&lt;&gt;""glugluieie""),if(and(QuotesCheckJudge = ""segundo"", QuotesCheckChallengeRecommend"&amp;"ation2 &lt;&gt; """"), filter('Quotes-Check'!I500:J500, 'Quotes-Check'!I500:J500&lt;&gt;""glugluieie""),""""))"),"recommendation")</f>
        <v>recommendation</v>
      </c>
      <c r="F500" s="22" t="str">
        <f>IFERROR(__xludf.DUMMYFUNCTION("""COMPUTED_VALUE"""),"So we support them to the Travis CI. We support them with a certain number of things, but if they want to choose something else, it's okay. I mean, but you know, they have to understand that we won't necessarily support them. ")</f>
        <v>So we support them to the Travis CI. We support them with a certain number of things, but if they want to choose something else, it's okay. I mean, but you know, they have to understand that we won't necessarily support them. </v>
      </c>
      <c r="G500" s="22" t="str">
        <f>if(QuotesCheckJudgeAbstract&lt;&gt;"",QuotesCheckJudgeAbstract,if(or(QuotesCheckJudge="",and(QuotesCheckJudge = "primeiro", QuotesCheckChallengeRecommendation1 &lt;&gt; "")), QuotesCheckAbstract1,if(and(QuotesCheckJudge = "segundo", QuotesCheckChallengeRecommendation2 &lt;&gt; ""), QuotesCheckAbstract2,"")))</f>
        <v>Give students the freedom to choose other tools they want, but make it clear that these tools will not be supported by teachers during the class</v>
      </c>
    </row>
    <row r="501">
      <c r="A501" s="22">
        <f>IFERROR(__xludf.DUMMYFUNCTION("if(or(QuotesCheckJudge="""",and(QuotesCheckJudge = ""primeiro"", QuotesCheckChallengeRecommendation1 &lt;&gt; """"),and(QuotesCheckJudge = ""segundo"", QuotesCheckChallengeRecommendation2 &lt;&gt; """")), filter('Quotes-Check'!A501:D501, 'Quotes-Check'!A501:D501&lt;&gt;""g"&amp;"lugluieie""),"""")"),12.0)</f>
        <v>12</v>
      </c>
      <c r="B501" s="22">
        <f>IFERROR(__xludf.DUMMYFUNCTION("""COMPUTED_VALUE"""),22.0)</f>
        <v>22</v>
      </c>
      <c r="C501" s="2" t="str">
        <f>IFERROR(__xludf.DUMMYFUNCTION("""COMPUTED_VALUE"""),"R2 / R3")</f>
        <v>R2 / R3</v>
      </c>
      <c r="D501" s="22" t="str">
        <f>IFERROR(__xludf.DUMMYFUNCTION("""COMPUTED_VALUE"""),"Tool / Technology")</f>
        <v>Tool / Technology</v>
      </c>
      <c r="E501" s="46" t="str">
        <f>IFERROR(__xludf.DUMMYFUNCTION("if(or(QuotesCheckJudge="""",and(QuotesCheckJudge = ""primeiro"", QuotesCheckChallengeRecommendation1 &lt;&gt; """")), filter('Quotes-Check'!E501:F501, 'Quotes-Check'!E501:F501&lt;&gt;""glugluieie""),if(and(QuotesCheckJudge = ""segundo"", QuotesCheckChallengeRecommend"&amp;"ation2 &lt;&gt; """"), filter('Quotes-Check'!I501:J501, 'Quotes-Check'!I501:J501&lt;&gt;""glugluieie""),""""))"),"recommendation")</f>
        <v>recommendation</v>
      </c>
      <c r="F501" s="22" t="str">
        <f>IFERROR(__xludf.DUMMYFUNCTION("""COMPUTED_VALUE"""),"we're building a couple of tutorials so that, you know, the ones that have less experience with certainly the testing can look at it. ")</f>
        <v>we're building a couple of tutorials so that, you know, the ones that have less experience with certainly the testing can look at it. </v>
      </c>
      <c r="G501" s="22" t="str">
        <f>if(QuotesCheckJudgeAbstract&lt;&gt;"",QuotesCheckJudgeAbstract,if(or(QuotesCheckJudge="",and(QuotesCheckJudge = "primeiro", QuotesCheckChallengeRecommendation1 &lt;&gt; "")), QuotesCheckAbstract1,if(and(QuotesCheckJudge = "segundo", QuotesCheckChallengeRecommendation2 &lt;&gt; ""), QuotesCheckAbstract2,"")))</f>
        <v>we're building a couple of tutorials so that the ones that have less experience can look at it.</v>
      </c>
    </row>
    <row r="502">
      <c r="A502" s="22">
        <f>IFERROR(__xludf.DUMMYFUNCTION("if(or(QuotesCheckJudge="""",and(QuotesCheckJudge = ""primeiro"", QuotesCheckChallengeRecommendation1 &lt;&gt; """"),and(QuotesCheckJudge = ""segundo"", QuotesCheckChallengeRecommendation2 &lt;&gt; """")), filter('Quotes-Check'!A502:D502, 'Quotes-Check'!A502:D502&lt;&gt;""g"&amp;"lugluieie""),"""")"),12.0)</f>
        <v>12</v>
      </c>
      <c r="B502" s="22">
        <f>IFERROR(__xludf.DUMMYFUNCTION("""COMPUTED_VALUE"""),23.0)</f>
        <v>23</v>
      </c>
      <c r="C502" s="2" t="str">
        <f>IFERROR(__xludf.DUMMYFUNCTION("""COMPUTED_VALUE"""),"R1 / R3")</f>
        <v>R1 / R3</v>
      </c>
      <c r="D502" s="22" t="str">
        <f>IFERROR(__xludf.DUMMYFUNCTION("""COMPUTED_VALUE"""),"Tool / Technology")</f>
        <v>Tool / Technology</v>
      </c>
      <c r="E502" s="46" t="str">
        <f>IFERROR(__xludf.DUMMYFUNCTION("if(or(QuotesCheckJudge="""",and(QuotesCheckJudge = ""primeiro"", QuotesCheckChallengeRecommendation1 &lt;&gt; """")), filter('Quotes-Check'!E502:F502, 'Quotes-Check'!E502:F502&lt;&gt;""glugluieie""),if(and(QuotesCheckJudge = ""segundo"", QuotesCheckChallengeRecommend"&amp;"ation2 &lt;&gt; """"), filter('Quotes-Check'!I502:J502, 'Quotes-Check'!I502:J502&lt;&gt;""glugluieie""),""""))"),"recommendation")</f>
        <v>recommendation</v>
      </c>
      <c r="F502" s="22" t="str">
        <f>IFERROR(__xludf.DUMMYFUNCTION("""COMPUTED_VALUE"""),"but with respect to the technologies, I think that knowledge is, will change [...] I think like one of the, uh, not too good to give it giving advices or, but I can share my experience and my thoughts. Um, I think that that's important to remember one thi"&amp;"ng as important as what is the objectives of your course.")</f>
        <v>but with respect to the technologies, I think that knowledge is, will change [...] I think like one of the, uh, not too good to give it giving advices or, but I can share my experience and my thoughts. Um, I think that that's important to remember one thing as important as what is the objectives of your course.</v>
      </c>
      <c r="G502" s="22" t="str">
        <f>if(QuotesCheckJudgeAbstract&lt;&gt;"",QuotesCheckJudgeAbstract,if(or(QuotesCheckJudge="",and(QuotesCheckJudge = "primeiro", QuotesCheckChallengeRecommendation1 &lt;&gt; "")), QuotesCheckAbstract1,if(and(QuotesCheckJudge = "segundo", QuotesCheckChallengeRecommendation2 &lt;&gt; ""), QuotesCheckAbstract2,"")))</f>
        <v>Constantly remember the students about the objective of the course.</v>
      </c>
    </row>
    <row r="503">
      <c r="A503" s="22">
        <f>IFERROR(__xludf.DUMMYFUNCTION("if(or(QuotesCheckJudge="""",and(QuotesCheckJudge = ""primeiro"", QuotesCheckChallengeRecommendation1 &lt;&gt; """"),and(QuotesCheckJudge = ""segundo"", QuotesCheckChallengeRecommendation2 &lt;&gt; """")), filter('Quotes-Check'!A503:D503, 'Quotes-Check'!A503:D503&lt;&gt;""g"&amp;"lugluieie""),"""")"),12.0)</f>
        <v>12</v>
      </c>
      <c r="B503" s="22">
        <f>IFERROR(__xludf.DUMMYFUNCTION("""COMPUTED_VALUE"""),24.0)</f>
        <v>24</v>
      </c>
      <c r="C503" s="2" t="str">
        <f>IFERROR(__xludf.DUMMYFUNCTION("""COMPUTED_VALUE"""),"R1 / R3")</f>
        <v>R1 / R3</v>
      </c>
      <c r="D503" s="22" t="str">
        <f>IFERROR(__xludf.DUMMYFUNCTION("""COMPUTED_VALUE"""),"Tool / Technology")</f>
        <v>Tool / Technology</v>
      </c>
      <c r="E503" s="46" t="str">
        <f>IFERROR(__xludf.DUMMYFUNCTION("if(or(QuotesCheckJudge="""",and(QuotesCheckJudge = ""primeiro"", QuotesCheckChallengeRecommendation1 &lt;&gt; """")), filter('Quotes-Check'!E503:F503, 'Quotes-Check'!E503:F503&lt;&gt;""glugluieie""),if(and(QuotesCheckJudge = ""segundo"", QuotesCheckChallengeRecommend"&amp;"ation2 &lt;&gt; """"), filter('Quotes-Check'!I503:J503, 'Quotes-Check'!I503:J503&lt;&gt;""glugluieie""),""""))"),"recommendation")</f>
        <v>recommendation</v>
      </c>
      <c r="F503" s="22" t="str">
        <f>IFERROR(__xludf.DUMMYFUNCTION("""COMPUTED_VALUE"""),"first define the objectives of your course and making sure you stick to it")</f>
        <v>first define the objectives of your course and making sure you stick to it</v>
      </c>
      <c r="G503" s="22" t="str">
        <f>if(QuotesCheckJudgeAbstract&lt;&gt;"",QuotesCheckJudgeAbstract,if(or(QuotesCheckJudge="",and(QuotesCheckJudge = "primeiro", QuotesCheckChallengeRecommendation1 &lt;&gt; "")), QuotesCheckAbstract1,if(and(QuotesCheckJudge = "segundo", QuotesCheckChallengeRecommendation2 &lt;&gt; ""), QuotesCheckAbstract2,"")))</f>
        <v>Define clearly the objectives of your course and make sure you stick to it</v>
      </c>
    </row>
    <row r="504">
      <c r="A504" s="22">
        <f>IFERROR(__xludf.DUMMYFUNCTION("if(or(QuotesCheckJudge="""",and(QuotesCheckJudge = ""primeiro"", QuotesCheckChallengeRecommendation1 &lt;&gt; """"),and(QuotesCheckJudge = ""segundo"", QuotesCheckChallengeRecommendation2 &lt;&gt; """")), filter('Quotes-Check'!A504:D504, 'Quotes-Check'!A504:D504&lt;&gt;""g"&amp;"lugluieie""),"""")"),12.0)</f>
        <v>12</v>
      </c>
      <c r="B504" s="22">
        <f>IFERROR(__xludf.DUMMYFUNCTION("""COMPUTED_VALUE"""),27.0)</f>
        <v>27</v>
      </c>
      <c r="C504" s="2" t="str">
        <f>IFERROR(__xludf.DUMMYFUNCTION("""COMPUTED_VALUE"""),"R2 / R3")</f>
        <v>R2 / R3</v>
      </c>
      <c r="D504" s="22" t="str">
        <f>IFERROR(__xludf.DUMMYFUNCTION("""COMPUTED_VALUE"""),"Tool / Technology")</f>
        <v>Tool / Technology</v>
      </c>
      <c r="E504" s="46" t="str">
        <f>IFERROR(__xludf.DUMMYFUNCTION("if(or(QuotesCheckJudge="""",and(QuotesCheckJudge = ""primeiro"", QuotesCheckChallengeRecommendation1 &lt;&gt; """")), filter('Quotes-Check'!E504:F504, 'Quotes-Check'!E504:F504&lt;&gt;""glugluieie""),if(and(QuotesCheckJudge = ""segundo"", QuotesCheckChallengeRecommend"&amp;"ation2 &lt;&gt; """"), filter('Quotes-Check'!I504:J504, 'Quotes-Check'!I504:J504&lt;&gt;""glugluieie""),""""))"),"recommendation")</f>
        <v>recommendation</v>
      </c>
      <c r="F504" s="22" t="str">
        <f>IFERROR(__xludf.DUMMYFUNCTION("""COMPUTED_VALUE"""),"the lectures are more the, you know, sharing the experience and, and zooming in and some of the concepts.")</f>
        <v>the lectures are more the, you know, sharing the experience and, and zooming in and some of the concepts.</v>
      </c>
      <c r="G504" s="22" t="str">
        <f>if(QuotesCheckJudgeAbstract&lt;&gt;"",QuotesCheckJudgeAbstract,if(or(QuotesCheckJudge="",and(QuotesCheckJudge = "primeiro", QuotesCheckChallengeRecommendation1 &lt;&gt; "")), QuotesCheckAbstract1,if(and(QuotesCheckJudge = "segundo", QuotesCheckChallengeRecommendation2 &lt;&gt; ""), QuotesCheckAbstract2,"")))</f>
        <v>Use lectures to show case studies and emphasize in some of the DevOps concepts.</v>
      </c>
    </row>
    <row r="505">
      <c r="A505" s="22">
        <f>IFERROR(__xludf.DUMMYFUNCTION("if(or(QuotesCheckJudge="""",and(QuotesCheckJudge = ""primeiro"", QuotesCheckChallengeRecommendation1 &lt;&gt; """"),and(QuotesCheckJudge = ""segundo"", QuotesCheckChallengeRecommendation2 &lt;&gt; """")), filter('Quotes-Check'!A505:D505, 'Quotes-Check'!A505:D505&lt;&gt;""g"&amp;"lugluieie""),"""")"),12.0)</f>
        <v>12</v>
      </c>
      <c r="B505" s="22">
        <f>IFERROR(__xludf.DUMMYFUNCTION("""COMPUTED_VALUE"""),27.0)</f>
        <v>27</v>
      </c>
      <c r="C505" s="2" t="str">
        <f>IFERROR(__xludf.DUMMYFUNCTION("""COMPUTED_VALUE"""),"R2 / R3")</f>
        <v>R2 / R3</v>
      </c>
      <c r="D505" s="22" t="str">
        <f>IFERROR(__xludf.DUMMYFUNCTION("""COMPUTED_VALUE"""),"Tool / Technology")</f>
        <v>Tool / Technology</v>
      </c>
      <c r="E505" s="46" t="str">
        <f>IFERROR(__xludf.DUMMYFUNCTION("if(or(QuotesCheckJudge="""",and(QuotesCheckJudge = ""primeiro"", QuotesCheckChallengeRecommendation1 &lt;&gt; """")), filter('Quotes-Check'!E505:F505, 'Quotes-Check'!E505:F505&lt;&gt;""glugluieie""),if(and(QuotesCheckJudge = ""segundo"", QuotesCheckChallengeRecommend"&amp;"ation2 &lt;&gt; """"), filter('Quotes-Check'!I505:J505, 'Quotes-Check'!I505:J505&lt;&gt;""glugluieie""),""""))"),"recommendation")</f>
        <v>recommendation</v>
      </c>
      <c r="F505" s="22" t="str">
        <f>IFERROR(__xludf.DUMMYFUNCTION("""COMPUTED_VALUE"""),"make the students realize that the Kanban has certain information for a certain purpose. Um, if I want to analyze my process, I may extract information from the Kanban that will tell me about, you know, the time that I spent in the development phase or in"&amp;" the, in the review phase and things like that.")</f>
        <v>make the students realize that the Kanban has certain information for a certain purpose. Um, if I want to analyze my process, I may extract information from the Kanban that will tell me about, you know, the time that I spent in the development phase or in the, in the review phase and things like that.</v>
      </c>
      <c r="G505" s="22" t="str">
        <f>if(QuotesCheckJudgeAbstract&lt;&gt;"",QuotesCheckJudgeAbstract,if(or(QuotesCheckJudge="",and(QuotesCheckJudge = "primeiro", QuotesCheckChallengeRecommendation1 &lt;&gt; "")), QuotesCheckAbstract1,if(and(QuotesCheckJudge = "segundo", QuotesCheckChallengeRecommendation2 &lt;&gt; ""), QuotesCheckAbstract2,"")))</f>
        <v>Make the students realize that the Kanban has certain information for analyzing the overall process.</v>
      </c>
    </row>
    <row r="506">
      <c r="A506" s="22">
        <f>IFERROR(__xludf.DUMMYFUNCTION("if(or(QuotesCheckJudge="""",and(QuotesCheckJudge = ""primeiro"", QuotesCheckChallengeRecommendation1 &lt;&gt; """"),and(QuotesCheckJudge = ""segundo"", QuotesCheckChallengeRecommendation2 &lt;&gt; """")), filter('Quotes-Check'!A506:D506, 'Quotes-Check'!A506:D506&lt;&gt;""g"&amp;"lugluieie""),"""")"),12.0)</f>
        <v>12</v>
      </c>
      <c r="B506" s="22">
        <f>IFERROR(__xludf.DUMMYFUNCTION("""COMPUTED_VALUE"""),28.0)</f>
        <v>28</v>
      </c>
      <c r="C506" s="2" t="str">
        <f>IFERROR(__xludf.DUMMYFUNCTION("""COMPUTED_VALUE"""),"R1 / R3")</f>
        <v>R1 / R3</v>
      </c>
      <c r="D506" s="22" t="str">
        <f>IFERROR(__xludf.DUMMYFUNCTION("""COMPUTED_VALUE"""),"Tool / Technology")</f>
        <v>Tool / Technology</v>
      </c>
      <c r="E506" s="46" t="str">
        <f>IFERROR(__xludf.DUMMYFUNCTION("if(or(QuotesCheckJudge="""",and(QuotesCheckJudge = ""primeiro"", QuotesCheckChallengeRecommendation1 &lt;&gt; """")), filter('Quotes-Check'!E506:F506, 'Quotes-Check'!E506:F506&lt;&gt;""glugluieie""),if(and(QuotesCheckJudge = ""segundo"", QuotesCheckChallengeRecommend"&amp;"ation2 &lt;&gt; """"), filter('Quotes-Check'!I506:J506, 'Quotes-Check'!I506:J506&lt;&gt;""glugluieie""),""""))"),"challenge")</f>
        <v>challenge</v>
      </c>
      <c r="F506" s="22" t="str">
        <f>IFERROR(__xludf.DUMMYFUNCTION("""COMPUTED_VALUE"""),"to strike a balance. The students are of course, very keen about the products and telemetry about the product and, and, and, and building Docker containers. And, but what I want them to reflect, I mean, the whole goal of DevOps is to make the process effe"&amp;"ctive, very, very efficient.")</f>
        <v>to strike a balance. The students are of course, very keen about the products and telemetry about the product and, and, and, and building Docker containers. And, but what I want them to reflect, I mean, the whole goal of DevOps is to make the process effective, very, very efficient.</v>
      </c>
      <c r="G506" s="22" t="str">
        <f>if(QuotesCheckJudgeAbstract&lt;&gt;"",QuotesCheckJudgeAbstract,if(or(QuotesCheckJudge="",and(QuotesCheckJudge = "primeiro", QuotesCheckChallengeRecommendation1 &lt;&gt; "")), QuotesCheckAbstract1,if(and(QuotesCheckJudge = "segundo", QuotesCheckChallengeRecommendation2 &lt;&gt; ""), QuotesCheckAbstract2,"")))</f>
        <v>It is difficult to balance the usage of tools and making the DevOps process effective and efficient.</v>
      </c>
    </row>
    <row r="507">
      <c r="A507" s="22">
        <f>IFERROR(__xludf.DUMMYFUNCTION("if(or(QuotesCheckJudge="""",and(QuotesCheckJudge = ""primeiro"", QuotesCheckChallengeRecommendation1 &lt;&gt; """"),and(QuotesCheckJudge = ""segundo"", QuotesCheckChallengeRecommendation2 &lt;&gt; """")), filter('Quotes-Check'!A507:D507, 'Quotes-Check'!A507:D507&lt;&gt;""g"&amp;"lugluieie""),"""")"),12.0)</f>
        <v>12</v>
      </c>
      <c r="B507" s="22">
        <f>IFERROR(__xludf.DUMMYFUNCTION("""COMPUTED_VALUE"""),29.0)</f>
        <v>29</v>
      </c>
      <c r="C507" s="2" t="str">
        <f>IFERROR(__xludf.DUMMYFUNCTION("""COMPUTED_VALUE"""),"R1 / R3")</f>
        <v>R1 / R3</v>
      </c>
      <c r="D507" s="22" t="str">
        <f>IFERROR(__xludf.DUMMYFUNCTION("""COMPUTED_VALUE"""),"Tool / Technology")</f>
        <v>Tool / Technology</v>
      </c>
      <c r="E507" s="46" t="str">
        <f>IFERROR(__xludf.DUMMYFUNCTION("if(or(QuotesCheckJudge="""",and(QuotesCheckJudge = ""primeiro"", QuotesCheckChallengeRecommendation1 &lt;&gt; """")), filter('Quotes-Check'!E507:F507, 'Quotes-Check'!E507:F507&lt;&gt;""glugluieie""),if(and(QuotesCheckJudge = ""segundo"", QuotesCheckChallengeRecommend"&amp;"ation2 &lt;&gt; """"), filter('Quotes-Check'!I507:J507, 'Quotes-Check'!I507:J507&lt;&gt;""glugluieie""),""""))"),"recommendation")</f>
        <v>recommendation</v>
      </c>
      <c r="F507" s="22" t="str">
        <f>IFERROR(__xludf.DUMMYFUNCTION("""COMPUTED_VALUE""")," the book I have quiz, uh, again, it could be translated and adjusted, but that's the way to, to test in the exams. ...  one part is exactly quiz questions. So they have multiple choices.")</f>
        <v> the book I have quiz, uh, again, it could be translated and adjusted, but that's the way to, to test in the exams. ...  one part is exactly quiz questions. So they have multiple choices.</v>
      </c>
      <c r="G507" s="22" t="str">
        <f>if(QuotesCheckJudgeAbstract&lt;&gt;"",QuotesCheckJudgeAbstract,if(or(QuotesCheckJudge="",and(QuotesCheckJudge = "primeiro", QuotesCheckChallengeRecommendation1 &lt;&gt; "")), QuotesCheckAbstract1,if(and(QuotesCheckJudge = "segundo", QuotesCheckChallengeRecommendation2 &lt;&gt; ""), QuotesCheckAbstract2,"")))</f>
        <v>Use quiz in the book to test in the exams with multiple choices.</v>
      </c>
    </row>
    <row r="508">
      <c r="A508" s="22">
        <f>IFERROR(__xludf.DUMMYFUNCTION("if(or(QuotesCheckJudge="""",and(QuotesCheckJudge = ""primeiro"", QuotesCheckChallengeRecommendation1 &lt;&gt; """"),and(QuotesCheckJudge = ""segundo"", QuotesCheckChallengeRecommendation2 &lt;&gt; """")), filter('Quotes-Check'!A508:D508, 'Quotes-Check'!A508:D508&lt;&gt;""g"&amp;"lugluieie""),"""")"),12.0)</f>
        <v>12</v>
      </c>
      <c r="B508" s="22">
        <f>IFERROR(__xludf.DUMMYFUNCTION("""COMPUTED_VALUE"""),29.0)</f>
        <v>29</v>
      </c>
      <c r="C508" s="2" t="str">
        <f>IFERROR(__xludf.DUMMYFUNCTION("""COMPUTED_VALUE"""),"R1 / R3")</f>
        <v>R1 / R3</v>
      </c>
      <c r="D508" s="22" t="str">
        <f>IFERROR(__xludf.DUMMYFUNCTION("""COMPUTED_VALUE"""),"Tool / Technology")</f>
        <v>Tool / Technology</v>
      </c>
      <c r="E508" s="46" t="str">
        <f>IFERROR(__xludf.DUMMYFUNCTION("if(or(QuotesCheckJudge="""",and(QuotesCheckJudge = ""primeiro"", QuotesCheckChallengeRecommendation1 &lt;&gt; """")), filter('Quotes-Check'!E508:F508, 'Quotes-Check'!E508:F508&lt;&gt;""glugluieie""),if(and(QuotesCheckJudge = ""segundo"", QuotesCheckChallengeRecommend"&amp;"ation2 &lt;&gt; """"), filter('Quotes-Check'!I508:J508, 'Quotes-Check'!I508:J508&lt;&gt;""glugluieie""),""""))"),"recommendation")</f>
        <v>recommendation</v>
      </c>
      <c r="F508" s="22" t="str">
        <f>IFERROR(__xludf.DUMMYFUNCTION("""COMPUTED_VALUE"""),"I give them two case studies, uh, so to see if they can analyze a given situation.")</f>
        <v>I give them two case studies, uh, so to see if they can analyze a given situation.</v>
      </c>
      <c r="G508" s="22" t="str">
        <f>if(QuotesCheckJudgeAbstract&lt;&gt;"",QuotesCheckJudgeAbstract,if(or(QuotesCheckJudge="",and(QuotesCheckJudge = "primeiro", QuotesCheckChallengeRecommendation1 &lt;&gt; "")), QuotesCheckAbstract1,if(and(QuotesCheckJudge = "segundo", QuotesCheckChallengeRecommendation2 &lt;&gt; ""), QuotesCheckAbstract2,"")))</f>
        <v>Give case studies to see if the students can analyze a given situation to test in the exams.</v>
      </c>
    </row>
    <row r="509">
      <c r="A509" s="22">
        <f>IFERROR(__xludf.DUMMYFUNCTION("if(or(QuotesCheckJudge="""",and(QuotesCheckJudge = ""primeiro"", QuotesCheckChallengeRecommendation1 &lt;&gt; """"),and(QuotesCheckJudge = ""segundo"", QuotesCheckChallengeRecommendation2 &lt;&gt; """")), filter('Quotes-Check'!A509:D509, 'Quotes-Check'!A509:D509&lt;&gt;""g"&amp;"lugluieie""),"""")"),12.0)</f>
        <v>12</v>
      </c>
      <c r="B509" s="22">
        <f>IFERROR(__xludf.DUMMYFUNCTION("""COMPUTED_VALUE"""),30.0)</f>
        <v>30</v>
      </c>
      <c r="C509" s="2" t="str">
        <f>IFERROR(__xludf.DUMMYFUNCTION("""COMPUTED_VALUE"""),"R1 / R3")</f>
        <v>R1 / R3</v>
      </c>
      <c r="D509" s="22" t="str">
        <f>IFERROR(__xludf.DUMMYFUNCTION("""COMPUTED_VALUE"""),"DevOps Concepts")</f>
        <v>DevOps Concepts</v>
      </c>
      <c r="E509" s="46" t="str">
        <f>IFERROR(__xludf.DUMMYFUNCTION("if(or(QuotesCheckJudge="""",and(QuotesCheckJudge = ""primeiro"", QuotesCheckChallengeRecommendation1 &lt;&gt; """")), filter('Quotes-Check'!E509:F509, 'Quotes-Check'!E509:F509&lt;&gt;""glugluieie""),if(and(QuotesCheckJudge = ""segundo"", QuotesCheckChallengeRecommend"&amp;"ation2 &lt;&gt; """"), filter('Quotes-Check'!I509:J509, 'Quotes-Check'!I509:J509&lt;&gt;""glugluieie""),""""))"),"recommendation")</f>
        <v>recommendation</v>
      </c>
      <c r="F509" s="22" t="str">
        <f>IFERROR(__xludf.DUMMYFUNCTION("""COMPUTED_VALUE""")," we use one of the topics in DevOps that becomes quite important is value stream mapping. So to be able to capture your process is pretty simple in terms of modeling as a flow of activities, value stream mapping is a technique that has been used for quite"&amp;" a long time and in production.")</f>
        <v> we use one of the topics in DevOps that becomes quite important is value stream mapping. So to be able to capture your process is pretty simple in terms of modeling as a flow of activities, value stream mapping is a technique that has been used for quite a long time and in production.</v>
      </c>
      <c r="G509" s="22" t="str">
        <f>if(QuotesCheckJudgeAbstract&lt;&gt;"",QuotesCheckJudgeAbstract,if(or(QuotesCheckJudge="",and(QuotesCheckJudge = "primeiro", QuotesCheckChallengeRecommendation1 &lt;&gt; "")), QuotesCheckAbstract1,if(and(QuotesCheckJudge = "segundo", QuotesCheckChallengeRecommendation2 &lt;&gt; ""), QuotesCheckAbstract2,"")))</f>
        <v>Be able to capture your DevOps process in terms of modeling as a flow of activities using value stream mapping technique.</v>
      </c>
    </row>
    <row r="510">
      <c r="A510" s="22">
        <f>IFERROR(__xludf.DUMMYFUNCTION("if(or(QuotesCheckJudge="""",and(QuotesCheckJudge = ""primeiro"", QuotesCheckChallengeRecommendation1 &lt;&gt; """"),and(QuotesCheckJudge = ""segundo"", QuotesCheckChallengeRecommendation2 &lt;&gt; """")), filter('Quotes-Check'!A510:D510, 'Quotes-Check'!A510:D510&lt;&gt;""g"&amp;"lugluieie""),"""")"),12.0)</f>
        <v>12</v>
      </c>
      <c r="B510" s="22">
        <f>IFERROR(__xludf.DUMMYFUNCTION("""COMPUTED_VALUE"""),31.0)</f>
        <v>31</v>
      </c>
      <c r="C510" s="2" t="str">
        <f>IFERROR(__xludf.DUMMYFUNCTION("""COMPUTED_VALUE"""),"R1 / R2")</f>
        <v>R1 / R2</v>
      </c>
      <c r="D510" s="22" t="str">
        <f>IFERROR(__xludf.DUMMYFUNCTION("""COMPUTED_VALUE"""),"DevOps Concepts")</f>
        <v>DevOps Concepts</v>
      </c>
      <c r="E510" s="46" t="str">
        <f>IFERROR(__xludf.DUMMYFUNCTION("if(or(QuotesCheckJudge="""",and(QuotesCheckJudge = ""primeiro"", QuotesCheckChallengeRecommendation1 &lt;&gt; """")), filter('Quotes-Check'!E510:F510, 'Quotes-Check'!E510:F510&lt;&gt;""glugluieie""),if(and(QuotesCheckJudge = ""segundo"", QuotesCheckChallengeRecommend"&amp;"ation2 &lt;&gt; """"), filter('Quotes-Check'!I510:J510, 'Quotes-Check'!I510:J510&lt;&gt;""glugluieie""),""""))"),"recommendation")</f>
        <v>recommendation</v>
      </c>
      <c r="F510" s="22" t="str">
        <f>IFERROR(__xludf.DUMMYFUNCTION("""COMPUTED_VALUE"""),"it's not an analysis course, but I tried to bring it back regularly and say, okay, if you want to improve a process, whether you do so, it's one of the, one of the section in the book. And so it's okay. [...] you go from there to identify the, the points "&amp;"that could be improved, right. And then how do you want to improve it, then the techniques that are described in the book?")</f>
        <v>it's not an analysis course, but I tried to bring it back regularly and say, okay, if you want to improve a process, whether you do so, it's one of the, one of the section in the book. And so it's okay. [...] you go from there to identify the, the points that could be improved, right. And then how do you want to improve it, then the techniques that are described in the book?</v>
      </c>
      <c r="G510" s="22" t="str">
        <f>if(QuotesCheckJudgeAbstract&lt;&gt;"",QuotesCheckJudgeAbstract,if(or(QuotesCheckJudge="",and(QuotesCheckJudge = "primeiro", QuotesCheckChallengeRecommendation1 &lt;&gt; "")), QuotesCheckAbstract1,if(and(QuotesCheckJudge = "segundo", QuotesCheckChallengeRecommendation2 &lt;&gt; ""), QuotesCheckAbstract2,"")))</f>
        <v>Constantly try to figure out how to improve the quality of the course.</v>
      </c>
    </row>
    <row r="511">
      <c r="A511" s="22">
        <f>IFERROR(__xludf.DUMMYFUNCTION("if(or(QuotesCheckJudge="""",and(QuotesCheckJudge = ""primeiro"", QuotesCheckChallengeRecommendation1 &lt;&gt; """"),and(QuotesCheckJudge = ""segundo"", QuotesCheckChallengeRecommendation2 &lt;&gt; """")), filter('Quotes-Check'!A511:D511, 'Quotes-Check'!A511:D511&lt;&gt;""g"&amp;"lugluieie""),"""")"),12.0)</f>
        <v>12</v>
      </c>
      <c r="B511" s="22">
        <f>IFERROR(__xludf.DUMMYFUNCTION("""COMPUTED_VALUE"""),32.0)</f>
        <v>32</v>
      </c>
      <c r="C511" s="2" t="str">
        <f>IFERROR(__xludf.DUMMYFUNCTION("""COMPUTED_VALUE"""),"R2 / R3")</f>
        <v>R2 / R3</v>
      </c>
      <c r="D511" s="22" t="str">
        <f>IFERROR(__xludf.DUMMYFUNCTION("""COMPUTED_VALUE"""),"DevOps Concepts")</f>
        <v>DevOps Concepts</v>
      </c>
      <c r="E511" s="46" t="str">
        <f>IFERROR(__xludf.DUMMYFUNCTION("if(or(QuotesCheckJudge="""",and(QuotesCheckJudge = ""primeiro"", QuotesCheckChallengeRecommendation1 &lt;&gt; """")), filter('Quotes-Check'!E511:F511, 'Quotes-Check'!E511:F511&lt;&gt;""glugluieie""),if(and(QuotesCheckJudge = ""segundo"", QuotesCheckChallengeRecommend"&amp;"ation2 &lt;&gt; """"), filter('Quotes-Check'!I511:J511, 'Quotes-Check'!I511:J511&lt;&gt;""glugluieie""),""""))"),"recommendation")</f>
        <v>recommendation</v>
      </c>
      <c r="F511" s="22" t="str">
        <f>IFERROR(__xludf.DUMMYFUNCTION("""COMPUTED_VALUE"""),"this mindset of thinking of continuous improvement is so important, right?  ... the improvement of the daily work is more important than the work itself.")</f>
        <v>this mindset of thinking of continuous improvement is so important, right?  ... the improvement of the daily work is more important than the work itself.</v>
      </c>
      <c r="G511" s="22" t="str">
        <f>if(QuotesCheckJudgeAbstract&lt;&gt;"",QuotesCheckJudgeAbstract,if(or(QuotesCheckJudge="",and(QuotesCheckJudge = "primeiro", QuotesCheckChallengeRecommendation1 &lt;&gt; "")), QuotesCheckAbstract1,if(and(QuotesCheckJudge = "segundo", QuotesCheckChallengeRecommendation2 &lt;&gt; ""), QuotesCheckAbstract2,"")))</f>
        <v>The mindset of thinking of continuous improvement is so important because the improvement of the daily work is more important than the work itself.</v>
      </c>
    </row>
    <row r="512">
      <c r="A512" s="22">
        <f>IFERROR(__xludf.DUMMYFUNCTION("if(or(QuotesCheckJudge="""",and(QuotesCheckJudge = ""primeiro"", QuotesCheckChallengeRecommendation1 &lt;&gt; """"),and(QuotesCheckJudge = ""segundo"", QuotesCheckChallengeRecommendation2 &lt;&gt; """")), filter('Quotes-Check'!A512:D512, 'Quotes-Check'!A512:D512&lt;&gt;""g"&amp;"lugluieie""),"""")"),12.0)</f>
        <v>12</v>
      </c>
      <c r="B512" s="22">
        <f>IFERROR(__xludf.DUMMYFUNCTION("""COMPUTED_VALUE"""),33.0)</f>
        <v>33</v>
      </c>
      <c r="C512" s="2" t="str">
        <f>IFERROR(__xludf.DUMMYFUNCTION("""COMPUTED_VALUE"""),"R1 / R3")</f>
        <v>R1 / R3</v>
      </c>
      <c r="D512" s="22" t="str">
        <f>IFERROR(__xludf.DUMMYFUNCTION("""COMPUTED_VALUE"""),"DevOps Concepts")</f>
        <v>DevOps Concepts</v>
      </c>
      <c r="E512" s="46" t="str">
        <f>IFERROR(__xludf.DUMMYFUNCTION("if(or(QuotesCheckJudge="""",and(QuotesCheckJudge = ""primeiro"", QuotesCheckChallengeRecommendation1 &lt;&gt; """")), filter('Quotes-Check'!E512:F512, 'Quotes-Check'!E512:F512&lt;&gt;""glugluieie""),if(and(QuotesCheckJudge = ""segundo"", QuotesCheckChallengeRecommend"&amp;"ation2 &lt;&gt; """"), filter('Quotes-Check'!I512:J512, 'Quotes-Check'!I512:J512&lt;&gt;""glugluieie""),""""))"),"recommendation")</f>
        <v>recommendation</v>
      </c>
      <c r="F512" s="22" t="str">
        <f>IFERROR(__xludf.DUMMYFUNCTION("""COMPUTED_VALUE""")," what should I improve to make my process more efficient? So to me, this is the most important thing of DevOps. And, and, and then you do it through automation, automation of, of the deployment process, automation of, of, you know, the testing process aut"&amp;"omation later of the security, uh, thing and so on.")</f>
        <v> what should I improve to make my process more efficient? So to me, this is the most important thing of DevOps. And, and, and then you do it through automation, automation of, of the deployment process, automation of, of, you know, the testing process automation later of the security, uh, thing and so on.</v>
      </c>
      <c r="G512" s="22" t="str">
        <f>if(QuotesCheckJudgeAbstract&lt;&gt;"",QuotesCheckJudgeAbstract,if(or(QuotesCheckJudge="",and(QuotesCheckJudge = "primeiro", QuotesCheckChallengeRecommendation1 &lt;&gt; "")), QuotesCheckAbstract1,if(and(QuotesCheckJudge = "segundo", QuotesCheckChallengeRecommendation2 &lt;&gt; ""), QuotesCheckAbstract2,"")))</f>
        <v>The most importart thing of DevOps is to improve my process continuously through automation of the deployment process.</v>
      </c>
    </row>
    <row r="513">
      <c r="A513" s="22">
        <f>IFERROR(__xludf.DUMMYFUNCTION("if(or(QuotesCheckJudge="""",and(QuotesCheckJudge = ""primeiro"", QuotesCheckChallengeRecommendation1 &lt;&gt; """"),and(QuotesCheckJudge = ""segundo"", QuotesCheckChallengeRecommendation2 &lt;&gt; """")), filter('Quotes-Check'!A513:D513, 'Quotes-Check'!A513:D513&lt;&gt;""g"&amp;"lugluieie""),"""")"),12.0)</f>
        <v>12</v>
      </c>
      <c r="B513" s="22">
        <f>IFERROR(__xludf.DUMMYFUNCTION("""COMPUTED_VALUE"""),34.0)</f>
        <v>34</v>
      </c>
      <c r="C513" s="2" t="str">
        <f>IFERROR(__xludf.DUMMYFUNCTION("""COMPUTED_VALUE"""),"R1 / R3")</f>
        <v>R1 / R3</v>
      </c>
      <c r="D513" s="22" t="str">
        <f>IFERROR(__xludf.DUMMYFUNCTION("""COMPUTED_VALUE"""),"Class Preparation")</f>
        <v>Class Preparation</v>
      </c>
      <c r="E513" s="46" t="str">
        <f>IFERROR(__xludf.DUMMYFUNCTION("if(or(QuotesCheckJudge="""",and(QuotesCheckJudge = ""primeiro"", QuotesCheckChallengeRecommendation1 &lt;&gt; """")), filter('Quotes-Check'!E513:F513, 'Quotes-Check'!E513:F513&lt;&gt;""glugluieie""),if(and(QuotesCheckJudge = ""segundo"", QuotesCheckChallengeRecommend"&amp;"ation2 &lt;&gt; """"), filter('Quotes-Check'!I513:J513, 'Quotes-Check'!I513:J513&lt;&gt;""glugluieie""),""""))"),"challenge")</f>
        <v>challenge</v>
      </c>
      <c r="F513" s="22" t="str">
        <f>IFERROR(__xludf.DUMMYFUNCTION("""COMPUTED_VALUE"""),"I didn't find any course, really I was looking for courses in devops, like yes, there were courses that talk about kubernetes that these, yes. There are courses that talk about, uh, integrated testing. Yes. There are courses. We talk about AWS and cloud, "&amp;"but I didn't find any course on devops that I can two years ago that I'm almost like three years ago now when I started to work on it, um, use as a basis. Right. So the first semester was a nightmare. 
")</f>
        <v>I didn't find any course, really I was looking for courses in devops, like yes, there were courses that talk about kubernetes that these, yes. There are courses that talk about, uh, integrated testing. Yes. There are courses. We talk about AWS and cloud, but I didn't find any course on devops that I can two years ago that I'm almost like three years ago now when I started to work on it, um, use as a basis. Right. So the first semester was a nightmare. 
</v>
      </c>
      <c r="G513" s="22" t="str">
        <f>if(QuotesCheckJudgeAbstract&lt;&gt;"",QuotesCheckJudgeAbstract,if(or(QuotesCheckJudge="",and(QuotesCheckJudge = "primeiro", QuotesCheckChallengeRecommendation1 &lt;&gt; "")), QuotesCheckAbstract1,if(and(QuotesCheckJudge = "segundo", QuotesCheckChallengeRecommendation2 &lt;&gt; ""), QuotesCheckAbstract2,"")))</f>
        <v>It isn't easy to create a DevOps course without having another course as a reference.</v>
      </c>
    </row>
    <row r="514">
      <c r="A514" s="22">
        <f>IFERROR(__xludf.DUMMYFUNCTION("if(or(QuotesCheckJudge="""",and(QuotesCheckJudge = ""primeiro"", QuotesCheckChallengeRecommendation1 &lt;&gt; """"),and(QuotesCheckJudge = ""segundo"", QuotesCheckChallengeRecommendation2 &lt;&gt; """")), filter('Quotes-Check'!A514:D514, 'Quotes-Check'!A514:D514&lt;&gt;""g"&amp;"lugluieie""),"""")"),12.0)</f>
        <v>12</v>
      </c>
      <c r="B514" s="22">
        <f>IFERROR(__xludf.DUMMYFUNCTION("""COMPUTED_VALUE"""),36.0)</f>
        <v>36</v>
      </c>
      <c r="C514" s="2" t="str">
        <f>IFERROR(__xludf.DUMMYFUNCTION("""COMPUTED_VALUE"""),"R1 / R2")</f>
        <v>R1 / R2</v>
      </c>
      <c r="D514" s="22" t="str">
        <f>IFERROR(__xludf.DUMMYFUNCTION("""COMPUTED_VALUE"""),"Class Preparation")</f>
        <v>Class Preparation</v>
      </c>
      <c r="E514" s="46" t="str">
        <f>IFERROR(__xludf.DUMMYFUNCTION("if(or(QuotesCheckJudge="""",and(QuotesCheckJudge = ""primeiro"", QuotesCheckChallengeRecommendation1 &lt;&gt; """")), filter('Quotes-Check'!E514:F514, 'Quotes-Check'!E514:F514&lt;&gt;""glugluieie""),if(and(QuotesCheckJudge = ""segundo"", QuotesCheckChallengeRecommend"&amp;"ation2 &lt;&gt; """"), filter('Quotes-Check'!I514:J514, 'Quotes-Check'!I514:J514&lt;&gt;""glugluieie""),""""))"),"challenge")</f>
        <v>challenge</v>
      </c>
      <c r="F514" s="22" t="str">
        <f>IFERROR(__xludf.DUMMYFUNCTION("""COMPUTED_VALUE"""),"we hear from our industrial partners and from industry in general is there's this HUGE gap right? Between what the industry needs and what university provides.")</f>
        <v>we hear from our industrial partners and from industry in general is there's this HUGE gap right? Between what the industry needs and what university provides.</v>
      </c>
      <c r="G514" s="22" t="str">
        <f>if(QuotesCheckJudgeAbstract&lt;&gt;"",QuotesCheckJudgeAbstract,if(or(QuotesCheckJudge="",and(QuotesCheckJudge = "primeiro", QuotesCheckChallengeRecommendation1 &lt;&gt; "")), QuotesCheckAbstract1,if(and(QuotesCheckJudge = "segundo", QuotesCheckChallengeRecommendation2 &lt;&gt; ""), QuotesCheckAbstract2,"")))</f>
        <v>There is a lack between what the industry wants from students about DevOps and what the university teaches.</v>
      </c>
    </row>
    <row r="515">
      <c r="A515" s="22">
        <f>IFERROR(__xludf.DUMMYFUNCTION("if(or(QuotesCheckJudge="""",and(QuotesCheckJudge = ""primeiro"", QuotesCheckChallengeRecommendation1 &lt;&gt; """"),and(QuotesCheckJudge = ""segundo"", QuotesCheckChallengeRecommendation2 &lt;&gt; """")), filter('Quotes-Check'!A515:D515, 'Quotes-Check'!A515:D515&lt;&gt;""g"&amp;"lugluieie""),"""")"),12.0)</f>
        <v>12</v>
      </c>
      <c r="B515" s="22">
        <f>IFERROR(__xludf.DUMMYFUNCTION("""COMPUTED_VALUE"""),36.0)</f>
        <v>36</v>
      </c>
      <c r="C515" s="2" t="str">
        <f>IFERROR(__xludf.DUMMYFUNCTION("""COMPUTED_VALUE"""),"R1 / R2")</f>
        <v>R1 / R2</v>
      </c>
      <c r="D515" s="22" t="str">
        <f>IFERROR(__xludf.DUMMYFUNCTION("""COMPUTED_VALUE"""),"Class Preparation")</f>
        <v>Class Preparation</v>
      </c>
      <c r="E515" s="46" t="str">
        <f>IFERROR(__xludf.DUMMYFUNCTION("if(or(QuotesCheckJudge="""",and(QuotesCheckJudge = ""primeiro"", QuotesCheckChallengeRecommendation1 &lt;&gt; """")), filter('Quotes-Check'!E515:F515, 'Quotes-Check'!E515:F515&lt;&gt;""glugluieie""),if(and(QuotesCheckJudge = ""segundo"", QuotesCheckChallengeRecommend"&amp;"ation2 &lt;&gt; """"), filter('Quotes-Check'!I515:J515, 'Quotes-Check'!I515:J515&lt;&gt;""glugluieie""),""""))"),"challenge")</f>
        <v>challenge</v>
      </c>
      <c r="F515" s="22" t="str">
        <f>IFERROR(__xludf.DUMMYFUNCTION("""COMPUTED_VALUE"""),"in 2018, 2019, and yet no universities have a program in DevOps, no universities, essentially very few universities have a course in DevOps.")</f>
        <v>in 2018, 2019, and yet no universities have a program in DevOps, no universities, essentially very few universities have a course in DevOps.</v>
      </c>
      <c r="G515" s="22" t="str">
        <f>if(QuotesCheckJudgeAbstract&lt;&gt;"",QuotesCheckJudgeAbstract,if(or(QuotesCheckJudge="",and(QuotesCheckJudge = "primeiro", QuotesCheckChallengeRecommendation1 &lt;&gt; "")), QuotesCheckAbstract1,if(and(QuotesCheckJudge = "segundo", QuotesCheckChallengeRecommendation2 &lt;&gt; ""), QuotesCheckAbstract2,"")))</f>
        <v>Few universities have a DevOps course</v>
      </c>
    </row>
    <row r="516">
      <c r="A516" s="22">
        <f>IFERROR(__xludf.DUMMYFUNCTION("if(or(QuotesCheckJudge="""",and(QuotesCheckJudge = ""primeiro"", QuotesCheckChallengeRecommendation1 &lt;&gt; """"),and(QuotesCheckJudge = ""segundo"", QuotesCheckChallengeRecommendation2 &lt;&gt; """")), filter('Quotes-Check'!A516:D516, 'Quotes-Check'!A516:D516&lt;&gt;""g"&amp;"lugluieie""),"""")"),12.0)</f>
        <v>12</v>
      </c>
      <c r="B516" s="22">
        <f>IFERROR(__xludf.DUMMYFUNCTION("""COMPUTED_VALUE"""),37.0)</f>
        <v>37</v>
      </c>
      <c r="C516" s="2" t="str">
        <f>IFERROR(__xludf.DUMMYFUNCTION("""COMPUTED_VALUE"""),"R2 / R3")</f>
        <v>R2 / R3</v>
      </c>
      <c r="D516" s="22" t="str">
        <f>IFERROR(__xludf.DUMMYFUNCTION("""COMPUTED_VALUE"""),"Class Preparation")</f>
        <v>Class Preparation</v>
      </c>
      <c r="E516" s="46" t="str">
        <f>IFERROR(__xludf.DUMMYFUNCTION("if(or(QuotesCheckJudge="""",and(QuotesCheckJudge = ""primeiro"", QuotesCheckChallengeRecommendation1 &lt;&gt; """")), filter('Quotes-Check'!E516:F516, 'Quotes-Check'!E516:F516&lt;&gt;""glugluieie""),if(and(QuotesCheckJudge = ""segundo"", QuotesCheckChallengeRecommend"&amp;"ation2 &lt;&gt; """"), filter('Quotes-Check'!I516:J516, 'Quotes-Check'!I516:J516&lt;&gt;""glugluieie""),""""))"),"challenge")</f>
        <v>challenge</v>
      </c>
      <c r="F516" s="22" t="str">
        <f>IFERROR(__xludf.DUMMYFUNCTION("""COMPUTED_VALUE"""),"DevOps doesn't equal CI/CD and DevOps doesn't equal automate the testing.")</f>
        <v>DevOps doesn't equal CI/CD and DevOps doesn't equal automate the testing.</v>
      </c>
      <c r="G516" s="22" t="str">
        <f>if(QuotesCheckJudgeAbstract&lt;&gt;"",QuotesCheckJudgeAbstract,if(or(QuotesCheckJudge="",and(QuotesCheckJudge = "primeiro", QuotesCheckChallengeRecommendation1 &lt;&gt; "")), QuotesCheckAbstract1,if(and(QuotesCheckJudge = "segundo", QuotesCheckChallengeRecommendation2 &lt;&gt; ""), QuotesCheckAbstract2,"")))</f>
        <v>DevOps is not only CI/CD and automation.</v>
      </c>
    </row>
    <row r="517">
      <c r="A517" s="22">
        <f>IFERROR(__xludf.DUMMYFUNCTION("if(or(QuotesCheckJudge="""",and(QuotesCheckJudge = ""primeiro"", QuotesCheckChallengeRecommendation1 &lt;&gt; """"),and(QuotesCheckJudge = ""segundo"", QuotesCheckChallengeRecommendation2 &lt;&gt; """")), filter('Quotes-Check'!A517:D517, 'Quotes-Check'!A517:D517&lt;&gt;""g"&amp;"lugluieie""),"""")"),12.0)</f>
        <v>12</v>
      </c>
      <c r="B517" s="22">
        <f>IFERROR(__xludf.DUMMYFUNCTION("""COMPUTED_VALUE"""),38.0)</f>
        <v>38</v>
      </c>
      <c r="C517" s="2" t="str">
        <f>IFERROR(__xludf.DUMMYFUNCTION("""COMPUTED_VALUE"""),"R1 / R3")</f>
        <v>R1 / R3</v>
      </c>
      <c r="D517" s="22" t="str">
        <f>IFERROR(__xludf.DUMMYFUNCTION("""COMPUTED_VALUE"""),"Pedagogy")</f>
        <v>Pedagogy</v>
      </c>
      <c r="E517" s="46" t="str">
        <f>IFERROR(__xludf.DUMMYFUNCTION("if(or(QuotesCheckJudge="""",and(QuotesCheckJudge = ""primeiro"", QuotesCheckChallengeRecommendation1 &lt;&gt; """")), filter('Quotes-Check'!E517:F517, 'Quotes-Check'!E517:F517&lt;&gt;""glugluieie""),if(and(QuotesCheckJudge = ""segundo"", QuotesCheckChallengeRecommend"&amp;"ation2 &lt;&gt; """"), filter('Quotes-Check'!I517:J517, 'Quotes-Check'!I517:J517&lt;&gt;""glugluieie""),""""))"),"recommendation")</f>
        <v>recommendation</v>
      </c>
      <c r="F517" s="22" t="str">
        <f>IFERROR(__xludf.DUMMYFUNCTION("""COMPUTED_VALUE"""),"the lectures, um, for the first part it's okay. I think for, until the midterm to have just get essentially through the book.")</f>
        <v>the lectures, um, for the first part it's okay. I think for, until the midterm to have just get essentially through the book.</v>
      </c>
      <c r="G517" s="22" t="str">
        <f>if(QuotesCheckJudgeAbstract&lt;&gt;"",QuotesCheckJudgeAbstract,if(or(QuotesCheckJudge="",and(QuotesCheckJudge = "primeiro", QuotesCheckChallengeRecommendation1 &lt;&gt; "")), QuotesCheckAbstract1,if(and(QuotesCheckJudge = "segundo", QuotesCheckChallengeRecommendation2 &lt;&gt; ""), QuotesCheckAbstract2,"")))</f>
        <v>Use DevOps Handbook to create the lectures.</v>
      </c>
    </row>
    <row r="518">
      <c r="A518" s="22">
        <f>IFERROR(__xludf.DUMMYFUNCTION("if(or(QuotesCheckJudge="""",and(QuotesCheckJudge = ""primeiro"", QuotesCheckChallengeRecommendation1 &lt;&gt; """"),and(QuotesCheckJudge = ""segundo"", QuotesCheckChallengeRecommendation2 &lt;&gt; """")), filter('Quotes-Check'!A518:D518, 'Quotes-Check'!A518:D518&lt;&gt;""g"&amp;"lugluieie""),"""")"),12.0)</f>
        <v>12</v>
      </c>
      <c r="B518" s="22">
        <f>IFERROR(__xludf.DUMMYFUNCTION("""COMPUTED_VALUE"""),39.0)</f>
        <v>39</v>
      </c>
      <c r="C518" s="2" t="str">
        <f>IFERROR(__xludf.DUMMYFUNCTION("""COMPUTED_VALUE"""),"R1 / R3")</f>
        <v>R1 / R3</v>
      </c>
      <c r="D518" s="22" t="str">
        <f>IFERROR(__xludf.DUMMYFUNCTION("""COMPUTED_VALUE"""),"Pedagogy")</f>
        <v>Pedagogy</v>
      </c>
      <c r="E518" s="46" t="str">
        <f>IFERROR(__xludf.DUMMYFUNCTION("if(or(QuotesCheckJudge="""",and(QuotesCheckJudge = ""primeiro"", QuotesCheckChallengeRecommendation1 &lt;&gt; """")), filter('Quotes-Check'!E518:F518, 'Quotes-Check'!E518:F518&lt;&gt;""glugluieie""),if(and(QuotesCheckJudge = ""segundo"", QuotesCheckChallengeRecommend"&amp;"ation2 &lt;&gt; """"), filter('Quotes-Check'!I518:J518, 'Quotes-Check'!I518:J518&lt;&gt;""glugluieie""),""""))"),"challenge")</f>
        <v>challenge</v>
      </c>
      <c r="F518" s="22" t="str">
        <f>IFERROR(__xludf.DUMMYFUNCTION("""COMPUTED_VALUE"""),"you can make the lectures more interactive, but to make the lecture attractive students have to willing to interact. Right. Which is very difficult to do.")</f>
        <v>you can make the lectures more interactive, but to make the lecture attractive students have to willing to interact. Right. Which is very difficult to do.</v>
      </c>
      <c r="G518" s="22" t="str">
        <f>if(QuotesCheckJudgeAbstract&lt;&gt;"",QuotesCheckJudgeAbstract,if(or(QuotesCheckJudge="",and(QuotesCheckJudge = "primeiro", QuotesCheckChallengeRecommendation1 &lt;&gt; "")), QuotesCheckAbstract1,if(and(QuotesCheckJudge = "segundo", QuotesCheckChallengeRecommendation2 &lt;&gt; ""), QuotesCheckAbstract2,"")))</f>
        <v>Make the lectures attractive is difficult.</v>
      </c>
    </row>
    <row r="519">
      <c r="A519" s="22">
        <f>IFERROR(__xludf.DUMMYFUNCTION("if(or(QuotesCheckJudge="""",and(QuotesCheckJudge = ""primeiro"", QuotesCheckChallengeRecommendation1 &lt;&gt; """"),and(QuotesCheckJudge = ""segundo"", QuotesCheckChallengeRecommendation2 &lt;&gt; """")), filter('Quotes-Check'!A519:D519, 'Quotes-Check'!A519:D519&lt;&gt;""g"&amp;"lugluieie""),"""")"),12.0)</f>
        <v>12</v>
      </c>
      <c r="B519" s="22">
        <f>IFERROR(__xludf.DUMMYFUNCTION("""COMPUTED_VALUE"""),39.0)</f>
        <v>39</v>
      </c>
      <c r="C519" s="2" t="str">
        <f>IFERROR(__xludf.DUMMYFUNCTION("""COMPUTED_VALUE"""),"R1 / R3")</f>
        <v>R1 / R3</v>
      </c>
      <c r="D519" s="22" t="str">
        <f>IFERROR(__xludf.DUMMYFUNCTION("""COMPUTED_VALUE"""),"Pedagogy")</f>
        <v>Pedagogy</v>
      </c>
      <c r="E519" s="46" t="str">
        <f>IFERROR(__xludf.DUMMYFUNCTION("if(or(QuotesCheckJudge="""",and(QuotesCheckJudge = ""primeiro"", QuotesCheckChallengeRecommendation1 &lt;&gt; """")), filter('Quotes-Check'!E519:F519, 'Quotes-Check'!E519:F519&lt;&gt;""glugluieie""),if(and(QuotesCheckJudge = ""segundo"", QuotesCheckChallengeRecommend"&amp;"ation2 &lt;&gt; """"), filter('Quotes-Check'!I519:J519, 'Quotes-Check'!I519:J519&lt;&gt;""glugluieie""),""""))"),"challenge")</f>
        <v>challenge</v>
      </c>
      <c r="F519" s="22" t="str">
        <f>IFERROR(__xludf.DUMMYFUNCTION("""COMPUTED_VALUE"""),"to make the lecture attractive students have to willing to interact. Right. Which is very difficult to do. And of course, uh, zoom teaching, uh, makes it a challenge.")</f>
        <v>to make the lecture attractive students have to willing to interact. Right. Which is very difficult to do. And of course, uh, zoom teaching, uh, makes it a challenge.</v>
      </c>
      <c r="G519" s="22" t="str">
        <f>if(QuotesCheckJudgeAbstract&lt;&gt;"",QuotesCheckJudgeAbstract,if(or(QuotesCheckJudge="",and(QuotesCheckJudge = "primeiro", QuotesCheckChallengeRecommendation1 &lt;&gt; "")), QuotesCheckAbstract1,if(and(QuotesCheckJudge = "segundo", QuotesCheckChallengeRecommendation2 &lt;&gt; ""), QuotesCheckAbstract2,"")))</f>
        <v>It is very difficult to interact with students in lecture remote teaching.</v>
      </c>
    </row>
    <row r="520">
      <c r="A520" s="22">
        <f>IFERROR(__xludf.DUMMYFUNCTION("if(or(QuotesCheckJudge="""",and(QuotesCheckJudge = ""primeiro"", QuotesCheckChallengeRecommendation1 &lt;&gt; """"),and(QuotesCheckJudge = ""segundo"", QuotesCheckChallengeRecommendation2 &lt;&gt; """")), filter('Quotes-Check'!A520:D520, 'Quotes-Check'!A520:D520&lt;&gt;""g"&amp;"lugluieie""),"""")"),12.0)</f>
        <v>12</v>
      </c>
      <c r="B520" s="22">
        <f>IFERROR(__xludf.DUMMYFUNCTION("""COMPUTED_VALUE"""),40.0)</f>
        <v>40</v>
      </c>
      <c r="C520" s="2" t="str">
        <f>IFERROR(__xludf.DUMMYFUNCTION("""COMPUTED_VALUE"""),"R1 / R3")</f>
        <v>R1 / R3</v>
      </c>
      <c r="D520" s="22" t="str">
        <f>IFERROR(__xludf.DUMMYFUNCTION("""COMPUTED_VALUE"""),"Pedagogy")</f>
        <v>Pedagogy</v>
      </c>
      <c r="E520" s="46" t="str">
        <f>IFERROR(__xludf.DUMMYFUNCTION("if(or(QuotesCheckJudge="""",and(QuotesCheckJudge = ""primeiro"", QuotesCheckChallengeRecommendation1 &lt;&gt; """")), filter('Quotes-Check'!E520:F520, 'Quotes-Check'!E520:F520&lt;&gt;""glugluieie""),if(and(QuotesCheckJudge = ""segundo"", QuotesCheckChallengeRecommend"&amp;"ation2 &lt;&gt; """"), filter('Quotes-Check'!I520:J520, 'Quotes-Check'!I520:J520&lt;&gt;""glugluieie""),""""))"),"recommendation")</f>
        <v>recommendation</v>
      </c>
      <c r="F520" s="22" t="str">
        <f>IFERROR(__xludf.DUMMYFUNCTION("""COMPUTED_VALUE"""),"in some topics, maybe it's introducing a bit more. So say that you're getting in the topic in the, in the lecture where, um, containers are, are relevant and then deployment is relevant. Then maybe the way is to discuss a bit more maybe than use Kubernete"&amp;"s and Docker, give concrete examples and stuff like that that supports the reading that they have done. ")</f>
        <v>in some topics, maybe it's introducing a bit more. So say that you're getting in the topic in the, in the lecture where, um, containers are, are relevant and then deployment is relevant. Then maybe the way is to discuss a bit more maybe than use Kubernetes and Docker, give concrete examples and stuff like that that supports the reading that they have done. </v>
      </c>
      <c r="G520" s="22" t="str">
        <f>if(QuotesCheckJudgeAbstract&lt;&gt;"",QuotesCheckJudgeAbstract,if(or(QuotesCheckJudge="",and(QuotesCheckJudge = "primeiro", QuotesCheckChallengeRecommendation1 &lt;&gt; "")), QuotesCheckAbstract1,if(and(QuotesCheckJudge = "segundo", QuotesCheckChallengeRecommendation2 &lt;&gt; ""), QuotesCheckAbstract2,"")))</f>
        <v>Show concrete examples when you are presenting some tool like Kubernetes and Docker.</v>
      </c>
    </row>
    <row r="521">
      <c r="A521" s="22">
        <f>IFERROR(__xludf.DUMMYFUNCTION("if(or(QuotesCheckJudge="""",and(QuotesCheckJudge = ""primeiro"", QuotesCheckChallengeRecommendation1 &lt;&gt; """"),and(QuotesCheckJudge = ""segundo"", QuotesCheckChallengeRecommendation2 &lt;&gt; """")), filter('Quotes-Check'!A521:D521, 'Quotes-Check'!A521:D521&lt;&gt;""g"&amp;"lugluieie""),"""")"),12.0)</f>
        <v>12</v>
      </c>
      <c r="B521" s="22">
        <f>IFERROR(__xludf.DUMMYFUNCTION("""COMPUTED_VALUE"""),40.0)</f>
        <v>40</v>
      </c>
      <c r="C521" s="2" t="str">
        <f>IFERROR(__xludf.DUMMYFUNCTION("""COMPUTED_VALUE"""),"R1 / R3")</f>
        <v>R1 / R3</v>
      </c>
      <c r="D521" s="22" t="str">
        <f>IFERROR(__xludf.DUMMYFUNCTION("""COMPUTED_VALUE"""),"Pedagogy")</f>
        <v>Pedagogy</v>
      </c>
      <c r="E521" s="46" t="str">
        <f>IFERROR(__xludf.DUMMYFUNCTION("if(or(QuotesCheckJudge="""",and(QuotesCheckJudge = ""primeiro"", QuotesCheckChallengeRecommendation1 &lt;&gt; """")), filter('Quotes-Check'!E521:F521, 'Quotes-Check'!E521:F521&lt;&gt;""glugluieie""),if(and(QuotesCheckJudge = ""segundo"", QuotesCheckChallengeRecommend"&amp;"ation2 &lt;&gt; """"), filter('Quotes-Check'!I521:J521, 'Quotes-Check'!I521:J521&lt;&gt;""glugluieie""),""""))"),"recommendation")</f>
        <v>recommendation</v>
      </c>
      <c r="F521" s="22" t="str">
        <f>IFERROR(__xludf.DUMMYFUNCTION("""COMPUTED_VALUE"""),"I'm thinking of bringing a couple of, um, industrial speakers as well to share their experience.")</f>
        <v>I'm thinking of bringing a couple of, um, industrial speakers as well to share their experience.</v>
      </c>
      <c r="G521" s="22" t="str">
        <f>if(QuotesCheckJudgeAbstract&lt;&gt;"",QuotesCheckJudgeAbstract,if(or(QuotesCheckJudge="",and(QuotesCheckJudge = "primeiro", QuotesCheckChallengeRecommendation1 &lt;&gt; "")), QuotesCheckAbstract1,if(and(QuotesCheckJudge = "segundo", QuotesCheckChallengeRecommendation2 &lt;&gt; ""), QuotesCheckAbstract2,"")))</f>
        <v>Try to bring industrial speakers to share their experience</v>
      </c>
    </row>
    <row r="522">
      <c r="A522" s="22">
        <f>IFERROR(__xludf.DUMMYFUNCTION("if(or(QuotesCheckJudge="""",and(QuotesCheckJudge = ""primeiro"", QuotesCheckChallengeRecommendation1 &lt;&gt; """"),and(QuotesCheckJudge = ""segundo"", QuotesCheckChallengeRecommendation2 &lt;&gt; """")), filter('Quotes-Check'!A522:D522, 'Quotes-Check'!A522:D522&lt;&gt;""g"&amp;"lugluieie""),"""")"),12.0)</f>
        <v>12</v>
      </c>
      <c r="B522" s="22">
        <f>IFERROR(__xludf.DUMMYFUNCTION("""COMPUTED_VALUE"""),40.0)</f>
        <v>40</v>
      </c>
      <c r="C522" s="2" t="str">
        <f>IFERROR(__xludf.DUMMYFUNCTION("""COMPUTED_VALUE"""),"R1 / R3")</f>
        <v>R1 / R3</v>
      </c>
      <c r="D522" s="22" t="str">
        <f>IFERROR(__xludf.DUMMYFUNCTION("""COMPUTED_VALUE"""),"Pedagogy")</f>
        <v>Pedagogy</v>
      </c>
      <c r="E522" s="46" t="str">
        <f>IFERROR(__xludf.DUMMYFUNCTION("if(or(QuotesCheckJudge="""",and(QuotesCheckJudge = ""primeiro"", QuotesCheckChallengeRecommendation1 &lt;&gt; """")), filter('Quotes-Check'!E522:F522, 'Quotes-Check'!E522:F522&lt;&gt;""glugluieie""),if(and(QuotesCheckJudge = ""segundo"", QuotesCheckChallengeRecommend"&amp;"ation2 &lt;&gt; """"), filter('Quotes-Check'!I522:J522, 'Quotes-Check'!I522:J522&lt;&gt;""glugluieie""),""""))"),"recommendation")</f>
        <v>recommendation</v>
      </c>
      <c r="F522" s="22" t="str">
        <f>IFERROR(__xludf.DUMMYFUNCTION("""COMPUTED_VALUE""")," having the book has a lot of case study and examples like Facebook, Google, LinkedIn, uh, Netflix, ")</f>
        <v> having the book has a lot of case study and examples like Facebook, Google, LinkedIn, uh, Netflix, </v>
      </c>
      <c r="G522" s="22" t="str">
        <f>if(QuotesCheckJudgeAbstract&lt;&gt;"",QuotesCheckJudgeAbstract,if(or(QuotesCheckJudge="",and(QuotesCheckJudge = "primeiro", QuotesCheckChallengeRecommendation1 &lt;&gt; "")), QuotesCheckAbstract1,if(and(QuotesCheckJudge = "segundo", QuotesCheckChallengeRecommendation2 &lt;&gt; ""), QuotesCheckAbstract2,"")))</f>
        <v>Find books like DevOps Handbook that have industrial case studies about Facebook, Google, etc</v>
      </c>
    </row>
    <row r="523">
      <c r="A523" s="22">
        <f>IFERROR(__xludf.DUMMYFUNCTION("if(or(QuotesCheckJudge="""",and(QuotesCheckJudge = ""primeiro"", QuotesCheckChallengeRecommendation1 &lt;&gt; """"),and(QuotesCheckJudge = ""segundo"", QuotesCheckChallengeRecommendation2 &lt;&gt; """")), filter('Quotes-Check'!A523:D523, 'Quotes-Check'!A523:D523&lt;&gt;""g"&amp;"lugluieie""),"""")"),12.0)</f>
        <v>12</v>
      </c>
      <c r="B523" s="22">
        <f>IFERROR(__xludf.DUMMYFUNCTION("""COMPUTED_VALUE"""),41.0)</f>
        <v>41</v>
      </c>
      <c r="C523" s="2" t="str">
        <f>IFERROR(__xludf.DUMMYFUNCTION("""COMPUTED_VALUE"""),"R1 / R2")</f>
        <v>R1 / R2</v>
      </c>
      <c r="D523" s="22" t="str">
        <f>IFERROR(__xludf.DUMMYFUNCTION("""COMPUTED_VALUE"""),"Pedagogy")</f>
        <v>Pedagogy</v>
      </c>
      <c r="E523" s="46" t="str">
        <f>IFERROR(__xludf.DUMMYFUNCTION("if(or(QuotesCheckJudge="""",and(QuotesCheckJudge = ""primeiro"", QuotesCheckChallengeRecommendation1 &lt;&gt; """")), filter('Quotes-Check'!E523:F523, 'Quotes-Check'!E523:F523&lt;&gt;""glugluieie""),if(and(QuotesCheckJudge = ""segundo"", QuotesCheckChallengeRecommend"&amp;"ation2 &lt;&gt; """"), filter('Quotes-Check'!I523:J523, 'Quotes-Check'!I523:J523&lt;&gt;""glugluieie""),""""))"),"challenge")</f>
        <v>challenge</v>
      </c>
      <c r="F523" s="22" t="str">
        <f>IFERROR(__xludf.DUMMYFUNCTION("""COMPUTED_VALUE""")," So part one is the three ways, just give you an overview of the, each of the three way. And then you have one part essentially for each of the three ways. And I think that the first two parts of the book you can find online, but, but not, not as a, someo"&amp;"ne who puts it in PDF, but from the publisher, from, from revolution, publisher and official version. So you can read it from the way.")</f>
        <v> So part one is the three ways, just give you an overview of the, each of the three way. And then you have one part essentially for each of the three ways. And I think that the first two parts of the book you can find online, but, but not, not as a, someone who puts it in PDF, but from the publisher, from, from revolution, publisher and official version. So you can read it from the way.</v>
      </c>
      <c r="G523" s="22" t="str">
        <f>if(QuotesCheckJudgeAbstract&lt;&gt;"",QuotesCheckJudgeAbstract,if(or(QuotesCheckJudge="",and(QuotesCheckJudge = "primeiro", QuotesCheckChallengeRecommendation1 &lt;&gt; "")), QuotesCheckAbstract1,if(and(QuotesCheckJudge = "segundo", QuotesCheckChallengeRecommendation2 &lt;&gt; ""), QuotesCheckAbstract2,"")))</f>
        <v>Students tend to get short free versions and not full versions of books</v>
      </c>
    </row>
    <row r="524">
      <c r="A524" s="22">
        <f>IFERROR(__xludf.DUMMYFUNCTION("if(or(QuotesCheckJudge="""",and(QuotesCheckJudge = ""primeiro"", QuotesCheckChallengeRecommendation1 &lt;&gt; """"),and(QuotesCheckJudge = ""segundo"", QuotesCheckChallengeRecommendation2 &lt;&gt; """")), filter('Quotes-Check'!A524:D524, 'Quotes-Check'!A524:D524&lt;&gt;""g"&amp;"lugluieie""),"""")"),12.0)</f>
        <v>12</v>
      </c>
      <c r="B524" s="22">
        <f>IFERROR(__xludf.DUMMYFUNCTION("""COMPUTED_VALUE"""),44.0)</f>
        <v>44</v>
      </c>
      <c r="C524" s="2" t="str">
        <f>IFERROR(__xludf.DUMMYFUNCTION("""COMPUTED_VALUE"""),"R1 / R3")</f>
        <v>R1 / R3</v>
      </c>
      <c r="D524" s="22" t="str">
        <f>IFERROR(__xludf.DUMMYFUNCTION("""COMPUTED_VALUE"""),"Assessment")</f>
        <v>Assessment</v>
      </c>
      <c r="E524" s="46" t="str">
        <f>IFERROR(__xludf.DUMMYFUNCTION("if(or(QuotesCheckJudge="""",and(QuotesCheckJudge = ""primeiro"", QuotesCheckChallengeRecommendation1 &lt;&gt; """")), filter('Quotes-Check'!E524:F524, 'Quotes-Check'!E524:F524&lt;&gt;""glugluieie""),if(and(QuotesCheckJudge = ""segundo"", QuotesCheckChallengeRecommend"&amp;"ation2 &lt;&gt; """"), filter('Quotes-Check'!I524:J524, 'Quotes-Check'!I524:J524&lt;&gt;""glugluieie""),""""))"),"recommendation")</f>
        <v>recommendation</v>
      </c>
      <c r="F524" s="22" t="str">
        <f>IFERROR(__xludf.DUMMYFUNCTION("""COMPUTED_VALUE""")," If I was asking you the question and say, give me the three benefits of this thought of this, uh, concept, then it's memorization. But if I give them five, if I give you five choices and they could be between zero and five, that are true statements with "&amp;"respect to this concept, it's not about memorization. It's about understanding,")</f>
        <v> If I was asking you the question and say, give me the three benefits of this thought of this, uh, concept, then it's memorization. But if I give them five, if I give you five choices and they could be between zero and five, that are true statements with respect to this concept, it's not about memorization. It's about understanding,</v>
      </c>
      <c r="G524" s="22" t="str">
        <f>if(QuotesCheckJudgeAbstract&lt;&gt;"",QuotesCheckJudgeAbstract,if(or(QuotesCheckJudge="",and(QuotesCheckJudge = "primeiro", QuotesCheckChallengeRecommendation1 &lt;&gt; "")), QuotesCheckAbstract1,if(and(QuotesCheckJudge = "segundo", QuotesCheckChallengeRecommendation2 &lt;&gt; ""), QuotesCheckAbstract2,"")))</f>
        <v>Multiple-choice format questions about DevOps concepts favor the understanding instead of memorization of the students.</v>
      </c>
    </row>
    <row r="525">
      <c r="A525" s="22">
        <f>IFERROR(__xludf.DUMMYFUNCTION("if(or(QuotesCheckJudge="""",and(QuotesCheckJudge = ""primeiro"", QuotesCheckChallengeRecommendation1 &lt;&gt; """"),and(QuotesCheckJudge = ""segundo"", QuotesCheckChallengeRecommendation2 &lt;&gt; """")), filter('Quotes-Check'!A525:D525, 'Quotes-Check'!A525:D525&lt;&gt;""g"&amp;"lugluieie""),"""")"),12.0)</f>
        <v>12</v>
      </c>
      <c r="B525" s="22">
        <f>IFERROR(__xludf.DUMMYFUNCTION("""COMPUTED_VALUE"""),48.0)</f>
        <v>48</v>
      </c>
      <c r="C525" s="2" t="str">
        <f>IFERROR(__xludf.DUMMYFUNCTION("""COMPUTED_VALUE"""),"R1 / R3")</f>
        <v>R1 / R3</v>
      </c>
      <c r="D525" s="22" t="str">
        <f>IFERROR(__xludf.DUMMYFUNCTION("""COMPUTED_VALUE"""),"Assessment")</f>
        <v>Assessment</v>
      </c>
      <c r="E525" s="46" t="str">
        <f>IFERROR(__xludf.DUMMYFUNCTION("if(or(QuotesCheckJudge="""",and(QuotesCheckJudge = ""primeiro"", QuotesCheckChallengeRecommendation1 &lt;&gt; """")), filter('Quotes-Check'!E525:F525, 'Quotes-Check'!E525:F525&lt;&gt;""glugluieie""),if(and(QuotesCheckJudge = ""segundo"", QuotesCheckChallengeRecommend"&amp;"ation2 &lt;&gt; """"), filter('Quotes-Check'!I525:J525, 'Quotes-Check'!I525:J525&lt;&gt;""glugluieie""),""""))"),"recommendation")</f>
        <v>recommendation</v>
      </c>
      <c r="F525" s="22" t="str">
        <f>IFERROR(__xludf.DUMMYFUNCTION("""COMPUTED_VALUE"""),"if the exam is in presence, then I don't care that much if, if they do the control that before, because ultimately they have to understand, I think that these quizzes to me have a specific objective.")</f>
        <v>if the exam is in presence, then I don't care that much if, if they do the control that before, because ultimately they have to understand, I think that these quizzes to me have a specific objective.</v>
      </c>
      <c r="G525" s="22" t="str">
        <f>if(QuotesCheckJudgeAbstract&lt;&gt;"",QuotesCheckJudgeAbstract,if(or(QuotesCheckJudge="",and(QuotesCheckJudge = "primeiro", QuotesCheckChallengeRecommendation1 &lt;&gt; "")), QuotesCheckAbstract1,if(and(QuotesCheckJudge = "segundo", QuotesCheckChallengeRecommendation2 &lt;&gt; ""), QuotesCheckAbstract2,"")))</f>
        <v>Quizzes forces students to understand the concepts.</v>
      </c>
    </row>
    <row r="526">
      <c r="A526" s="22">
        <f>IFERROR(__xludf.DUMMYFUNCTION("if(or(QuotesCheckJudge="""",and(QuotesCheckJudge = ""primeiro"", QuotesCheckChallengeRecommendation1 &lt;&gt; """"),and(QuotesCheckJudge = ""segundo"", QuotesCheckChallengeRecommendation2 &lt;&gt; """")), filter('Quotes-Check'!A526:D526, 'Quotes-Check'!A526:D526&lt;&gt;""g"&amp;"lugluieie""),"""")"),12.0)</f>
        <v>12</v>
      </c>
      <c r="B526" s="22">
        <f>IFERROR(__xludf.DUMMYFUNCTION("""COMPUTED_VALUE"""),49.0)</f>
        <v>49</v>
      </c>
      <c r="C526" s="2" t="str">
        <f>IFERROR(__xludf.DUMMYFUNCTION("""COMPUTED_VALUE"""),"R1 / R3")</f>
        <v>R1 / R3</v>
      </c>
      <c r="D526" s="22" t="str">
        <f>IFERROR(__xludf.DUMMYFUNCTION("""COMPUTED_VALUE"""),"Curriculum")</f>
        <v>Curriculum</v>
      </c>
      <c r="E526" s="46" t="str">
        <f>IFERROR(__xludf.DUMMYFUNCTION("if(or(QuotesCheckJudge="""",and(QuotesCheckJudge = ""primeiro"", QuotesCheckChallengeRecommendation1 &lt;&gt; """")), filter('Quotes-Check'!E526:F526, 'Quotes-Check'!E526:F526&lt;&gt;""glugluieie""),if(and(QuotesCheckJudge = ""segundo"", QuotesCheckChallengeRecommend"&amp;"ation2 &lt;&gt; """"), filter('Quotes-Check'!I526:J526, 'Quotes-Check'!I526:J526&lt;&gt;""glugluieie""),""""))"),"challenge")</f>
        <v>challenge</v>
      </c>
      <c r="F526" s="22" t="str">
        <f>IFERROR(__xludf.DUMMYFUNCTION("""COMPUTED_VALUE"""),"teaching this course, it's possible to teach it with students with no experience, but it makes the thing like this. I've been trying to have interactions with the students about, I know certain topics become quite difficult because they cannot relate it t"&amp;"o anything concrete.")</f>
        <v>teaching this course, it's possible to teach it with students with no experience, but it makes the thing like this. I've been trying to have interactions with the students about, I know certain topics become quite difficult because they cannot relate it to anything concrete.</v>
      </c>
      <c r="G526" s="22" t="str">
        <f>if(QuotesCheckJudgeAbstract&lt;&gt;"",QuotesCheckJudgeAbstract,if(or(QuotesCheckJudge="",and(QuotesCheckJudge = "primeiro", QuotesCheckChallengeRecommendation1 &lt;&gt; "")), QuotesCheckAbstract1,if(and(QuotesCheckJudge = "segundo", QuotesCheckChallengeRecommendation2 &lt;&gt; ""), QuotesCheckAbstract2,"")))</f>
        <v>It is difficult to teach students with no industrial experience.</v>
      </c>
    </row>
    <row r="527">
      <c r="A527" s="22">
        <f>IFERROR(__xludf.DUMMYFUNCTION("if(or(QuotesCheckJudge="""",and(QuotesCheckJudge = ""primeiro"", QuotesCheckChallengeRecommendation1 &lt;&gt; """"),and(QuotesCheckJudge = ""segundo"", QuotesCheckChallengeRecommendation2 &lt;&gt; """")), filter('Quotes-Check'!A527:D527, 'Quotes-Check'!A527:D527&lt;&gt;""g"&amp;"lugluieie""),"""")"),12.0)</f>
        <v>12</v>
      </c>
      <c r="B527" s="22">
        <f>IFERROR(__xludf.DUMMYFUNCTION("""COMPUTED_VALUE"""),50.0)</f>
        <v>50</v>
      </c>
      <c r="C527" s="2" t="str">
        <f>IFERROR(__xludf.DUMMYFUNCTION("""COMPUTED_VALUE"""),"R1 / R3")</f>
        <v>R1 / R3</v>
      </c>
      <c r="D527" s="22" t="str">
        <f>IFERROR(__xludf.DUMMYFUNCTION("""COMPUTED_VALUE"""),"Curriculum")</f>
        <v>Curriculum</v>
      </c>
      <c r="E527" s="46" t="str">
        <f>IFERROR(__xludf.DUMMYFUNCTION("if(or(QuotesCheckJudge="""",and(QuotesCheckJudge = ""primeiro"", QuotesCheckChallengeRecommendation1 &lt;&gt; """")), filter('Quotes-Check'!E527:F527, 'Quotes-Check'!E527:F527&lt;&gt;""glugluieie""),if(and(QuotesCheckJudge = ""segundo"", QuotesCheckChallengeRecommend"&amp;"ation2 &lt;&gt; """"), filter('Quotes-Check'!I527:J527, 'Quotes-Check'!I527:J527&lt;&gt;""glugluieie""),""""))"),"recommendation")</f>
        <v>recommendation</v>
      </c>
      <c r="F527" s="22" t="str">
        <f>IFERROR(__xludf.DUMMYFUNCTION("""COMPUTED_VALUE"""),"if you want to be able to experiment and, and to, to, to do the postmortem so that you can learn and you can solve issues and stuff")</f>
        <v>if you want to be able to experiment and, and to, to, to do the postmortem so that you can learn and you can solve issues and stuff</v>
      </c>
      <c r="G527" s="22" t="str">
        <f>if(QuotesCheckJudgeAbstract&lt;&gt;"",QuotesCheckJudgeAbstract,if(or(QuotesCheckJudge="",and(QuotesCheckJudge = "primeiro", QuotesCheckChallengeRecommendation1 &lt;&gt; "")), QuotesCheckAbstract1,if(and(QuotesCheckJudge = "segundo", QuotesCheckChallengeRecommendation2 &lt;&gt; ""), QuotesCheckAbstract2,"")))</f>
        <v>Make postmortem with the students can solve problems</v>
      </c>
    </row>
    <row r="528">
      <c r="A528" s="22">
        <f>IFERROR(__xludf.DUMMYFUNCTION("if(or(QuotesCheckJudge="""",and(QuotesCheckJudge = ""primeiro"", QuotesCheckChallengeRecommendation1 &lt;&gt; """"),and(QuotesCheckJudge = ""segundo"", QuotesCheckChallengeRecommendation2 &lt;&gt; """")), filter('Quotes-Check'!A528:D528, 'Quotes-Check'!A528:D528&lt;&gt;""g"&amp;"lugluieie""),"""")"),12.0)</f>
        <v>12</v>
      </c>
      <c r="B528" s="22">
        <f>IFERROR(__xludf.DUMMYFUNCTION("""COMPUTED_VALUE"""),50.0)</f>
        <v>50</v>
      </c>
      <c r="C528" s="2" t="str">
        <f>IFERROR(__xludf.DUMMYFUNCTION("""COMPUTED_VALUE"""),"R1 / R3")</f>
        <v>R1 / R3</v>
      </c>
      <c r="D528" s="22" t="str">
        <f>IFERROR(__xludf.DUMMYFUNCTION("""COMPUTED_VALUE"""),"Curriculum")</f>
        <v>Curriculum</v>
      </c>
      <c r="E528" s="46" t="str">
        <f>IFERROR(__xludf.DUMMYFUNCTION("if(or(QuotesCheckJudge="""",and(QuotesCheckJudge = ""primeiro"", QuotesCheckChallengeRecommendation1 &lt;&gt; """")), filter('Quotes-Check'!E528:F528, 'Quotes-Check'!E528:F528&lt;&gt;""glugluieie""),if(and(QuotesCheckJudge = ""segundo"", QuotesCheckChallengeRecommend"&amp;"ation2 &lt;&gt; """"), filter('Quotes-Check'!I528:J528, 'Quotes-Check'!I528:J528&lt;&gt;""glugluieie""),""""))"),"recommendation")</f>
        <v>recommendation</v>
      </c>
      <c r="F528" s="22" t="str">
        <f>IFERROR(__xludf.DUMMYFUNCTION("""COMPUTED_VALUE"""),"I have to do more of this, um, story telling. ... I'm trying to share my experience with the students.")</f>
        <v>I have to do more of this, um, story telling. ... I'm trying to share my experience with the students.</v>
      </c>
      <c r="G528" s="22" t="str">
        <f>if(QuotesCheckJudgeAbstract&lt;&gt;"",QuotesCheckJudgeAbstract,if(or(QuotesCheckJudge="",and(QuotesCheckJudge = "primeiro", QuotesCheckChallengeRecommendation1 &lt;&gt; "")), QuotesCheckAbstract1,if(and(QuotesCheckJudge = "segundo", QuotesCheckChallengeRecommendation2 &lt;&gt; ""), QuotesCheckAbstract2,"")))</f>
        <v>Use story telling to share experience with the students.</v>
      </c>
    </row>
    <row r="529">
      <c r="A529" s="22">
        <f>IFERROR(__xludf.DUMMYFUNCTION("if(or(QuotesCheckJudge="""",and(QuotesCheckJudge = ""primeiro"", QuotesCheckChallengeRecommendation1 &lt;&gt; """"),and(QuotesCheckJudge = ""segundo"", QuotesCheckChallengeRecommendation2 &lt;&gt; """")), filter('Quotes-Check'!A529:D529, 'Quotes-Check'!A529:D529&lt;&gt;""g"&amp;"lugluieie""),"""")"),12.0)</f>
        <v>12</v>
      </c>
      <c r="B529" s="22">
        <f>IFERROR(__xludf.DUMMYFUNCTION("""COMPUTED_VALUE"""),51.0)</f>
        <v>51</v>
      </c>
      <c r="C529" s="2" t="str">
        <f>IFERROR(__xludf.DUMMYFUNCTION("""COMPUTED_VALUE"""),"R1 / R2")</f>
        <v>R1 / R2</v>
      </c>
      <c r="D529" s="22" t="str">
        <f>IFERROR(__xludf.DUMMYFUNCTION("""COMPUTED_VALUE"""),"Curriculum")</f>
        <v>Curriculum</v>
      </c>
      <c r="E529" s="46" t="str">
        <f>IFERROR(__xludf.DUMMYFUNCTION("if(or(QuotesCheckJudge="""",and(QuotesCheckJudge = ""primeiro"", QuotesCheckChallengeRecommendation1 &lt;&gt; """")), filter('Quotes-Check'!E529:F529, 'Quotes-Check'!E529:F529&lt;&gt;""glugluieie""),if(and(QuotesCheckJudge = ""segundo"", QuotesCheckChallengeRecommend"&amp;"ation2 &lt;&gt; """"), filter('Quotes-Check'!I529:J529, 'Quotes-Check'!I529:J529&lt;&gt;""glugluieie""),""""))"),"recommendation")</f>
        <v>recommendation</v>
      </c>
      <c r="F529" s="22" t="str">
        <f>IFERROR(__xludf.DUMMYFUNCTION("""COMPUTED_VALUE"""),"So people need to feel comfortable sharing, if they've made a mistake or not thinking that they're gonna have their headquarters. Right. Um, so when talking about that, if students have never worked in the context where, you know, people are blaming each "&amp;"other and stuff, it's difficult to understand I, to, to be concrete. And this is so crucial. ")</f>
        <v>So people need to feel comfortable sharing, if they've made a mistake or not thinking that they're gonna have their headquarters. Right. Um, so when talking about that, if students have never worked in the context where, you know, people are blaming each other and stuff, it's difficult to understand I, to, to be concrete. And this is so crucial. </v>
      </c>
      <c r="G529" s="22" t="str">
        <f>if(QuotesCheckJudgeAbstract&lt;&gt;"",QuotesCheckJudgeAbstract,if(or(QuotesCheckJudge="",and(QuotesCheckJudge = "primeiro", QuotesCheckChallengeRecommendation1 &lt;&gt; "")), QuotesCheckAbstract1,if(and(QuotesCheckJudge = "segundo", QuotesCheckChallengeRecommendation2 &lt;&gt; ""), QuotesCheckAbstract2,"")))</f>
        <v>Create an environment that students feel comfortable with sharing about their mistakes and learn how with their teammates</v>
      </c>
    </row>
    <row r="530">
      <c r="A530" s="22">
        <f>IFERROR(__xludf.DUMMYFUNCTION("if(or(QuotesCheckJudge="""",and(QuotesCheckJudge = ""primeiro"", QuotesCheckChallengeRecommendation1 &lt;&gt; """"),and(QuotesCheckJudge = ""segundo"", QuotesCheckChallengeRecommendation2 &lt;&gt; """")), filter('Quotes-Check'!A530:D530, 'Quotes-Check'!A530:D530&lt;&gt;""g"&amp;"lugluieie""),"""")"),12.0)</f>
        <v>12</v>
      </c>
      <c r="B530" s="22">
        <f>IFERROR(__xludf.DUMMYFUNCTION("""COMPUTED_VALUE"""),52.0)</f>
        <v>52</v>
      </c>
      <c r="C530" s="2" t="str">
        <f>IFERROR(__xludf.DUMMYFUNCTION("""COMPUTED_VALUE"""),"R2 / R3")</f>
        <v>R2 / R3</v>
      </c>
      <c r="D530" s="22" t="str">
        <f>IFERROR(__xludf.DUMMYFUNCTION("""COMPUTED_VALUE"""),"Curriculum")</f>
        <v>Curriculum</v>
      </c>
      <c r="E530" s="46" t="str">
        <f>IFERROR(__xludf.DUMMYFUNCTION("if(or(QuotesCheckJudge="""",and(QuotesCheckJudge = ""primeiro"", QuotesCheckChallengeRecommendation1 &lt;&gt; """")), filter('Quotes-Check'!E530:F530, 'Quotes-Check'!E530:F530&lt;&gt;""glugluieie""),if(and(QuotesCheckJudge = ""segundo"", QuotesCheckChallengeRecommend"&amp;"ation2 &lt;&gt; """"), filter('Quotes-Check'!I530:J530, 'Quotes-Check'!I530:J530&lt;&gt;""glugluieie""),""""))"),"recommendation")</f>
        <v>recommendation</v>
      </c>
      <c r="F530" s="22" t="str">
        <f>IFERROR(__xludf.DUMMYFUNCTION("""COMPUTED_VALUE"""),"So that, I think it's one of our job to, to, to communicate with the student that it's not about the buzzword, this is something extremely serious. ")</f>
        <v>So that, I think it's one of our job to, to, to communicate with the student that it's not about the buzzword, this is something extremely serious. </v>
      </c>
      <c r="G530" s="22" t="str">
        <f>if(QuotesCheckJudgeAbstract&lt;&gt;"",QuotesCheckJudgeAbstract,if(or(QuotesCheckJudge="",and(QuotesCheckJudge = "primeiro", QuotesCheckChallengeRecommendation1 &lt;&gt; "")), QuotesCheckAbstract1,if(and(QuotesCheckJudge = "segundo", QuotesCheckChallengeRecommendation2 &lt;&gt; ""), QuotesCheckAbstract2,"")))</f>
        <v>It's important to communicate with students that DevOps is not buzzword, it is extremely serious.</v>
      </c>
    </row>
    <row r="531">
      <c r="A531" s="22">
        <f>IFERROR(__xludf.DUMMYFUNCTION("if(or(QuotesCheckJudge="""",and(QuotesCheckJudge = ""primeiro"", QuotesCheckChallengeRecommendation1 &lt;&gt; """"),and(QuotesCheckJudge = ""segundo"", QuotesCheckChallengeRecommendation2 &lt;&gt; """")), filter('Quotes-Check'!A531:D531, 'Quotes-Check'!A531:D531&lt;&gt;""g"&amp;"lugluieie""),"""")"),13.0)</f>
        <v>13</v>
      </c>
      <c r="B531" s="22">
        <f>IFERROR(__xludf.DUMMYFUNCTION("""COMPUTED_VALUE"""),1.0)</f>
        <v>1</v>
      </c>
      <c r="C531" s="2" t="str">
        <f>IFERROR(__xludf.DUMMYFUNCTION("""COMPUTED_VALUE"""),"R1 / R2")</f>
        <v>R1 / R2</v>
      </c>
      <c r="D531" s="22" t="str">
        <f>IFERROR(__xludf.DUMMYFUNCTION("""COMPUTED_VALUE"""),"General Challenges and Recommendations")</f>
        <v>General Challenges and Recommendations</v>
      </c>
      <c r="E531" s="46" t="str">
        <f>IFERROR(__xludf.DUMMYFUNCTION("if(or(QuotesCheckJudge="""",and(QuotesCheckJudge = ""primeiro"", QuotesCheckChallengeRecommendation1 &lt;&gt; """")), filter('Quotes-Check'!E531:F531, 'Quotes-Check'!E531:F531&lt;&gt;""glugluieie""),if(and(QuotesCheckJudge = ""segundo"", QuotesCheckChallengeRecommend"&amp;"ation2 &lt;&gt; """"), filter('Quotes-Check'!I531:J531, 'Quotes-Check'!I531:J531&lt;&gt;""glugluieie""),""""))"),"recommendation")</f>
        <v>recommendation</v>
      </c>
      <c r="F531" s="22" t="str">
        <f>IFERROR(__xludf.DUMMYFUNCTION("""COMPUTED_VALUE"""),"this course has a very specific structure, which is not usual. Uh, the structure is that, uh, everything. Um, I think you have access to our GitHub repository and everything is, uh, available.")</f>
        <v>this course has a very specific structure, which is not usual. Uh, the structure is that, uh, everything. Um, I think you have access to our GitHub repository and everything is, uh, available.</v>
      </c>
      <c r="G531" s="22" t="str">
        <f>if(QuotesCheckJudgeAbstract&lt;&gt;"",QuotesCheckJudgeAbstract,if(or(QuotesCheckJudge="",and(QuotesCheckJudge = "primeiro", QuotesCheckChallengeRecommendation1 &lt;&gt; "")), QuotesCheckAbstract1,if(and(QuotesCheckJudge = "segundo", QuotesCheckChallengeRecommendation2 &lt;&gt; ""), QuotesCheckAbstract2,"")))</f>
        <v>Make public access the content of the course using the GitHub.</v>
      </c>
    </row>
    <row r="532">
      <c r="A532" s="22">
        <f>IFERROR(__xludf.DUMMYFUNCTION("if(or(QuotesCheckJudge="""",and(QuotesCheckJudge = ""primeiro"", QuotesCheckChallengeRecommendation1 &lt;&gt; """"),and(QuotesCheckJudge = ""segundo"", QuotesCheckChallengeRecommendation2 &lt;&gt; """")), filter('Quotes-Check'!A532:D532, 'Quotes-Check'!A532:D532&lt;&gt;""g"&amp;"lugluieie""),"""")"),13.0)</f>
        <v>13</v>
      </c>
      <c r="B532" s="22">
        <f>IFERROR(__xludf.DUMMYFUNCTION("""COMPUTED_VALUE"""),2.0)</f>
        <v>2</v>
      </c>
      <c r="C532" s="2" t="str">
        <f>IFERROR(__xludf.DUMMYFUNCTION("""COMPUTED_VALUE"""),"R2 / R3")</f>
        <v>R2 / R3</v>
      </c>
      <c r="D532" s="22" t="str">
        <f>IFERROR(__xludf.DUMMYFUNCTION("""COMPUTED_VALUE"""),"General Challenges and Recommendations")</f>
        <v>General Challenges and Recommendations</v>
      </c>
      <c r="E532" s="46" t="str">
        <f>IFERROR(__xludf.DUMMYFUNCTION("if(or(QuotesCheckJudge="""",and(QuotesCheckJudge = ""primeiro"", QuotesCheckChallengeRecommendation1 &lt;&gt; """")), filter('Quotes-Check'!E532:F532, 'Quotes-Check'!E532:F532&lt;&gt;""glugluieie""),if(and(QuotesCheckJudge = ""segundo"", QuotesCheckChallengeRecommend"&amp;"ation2 &lt;&gt; """"), filter('Quotes-Check'!I532:J532, 'Quotes-Check'!I532:J532&lt;&gt;""glugluieie""),""""))"),"recommendation")</f>
        <v>recommendation</v>
      </c>
      <c r="F532" s="22" t="str">
        <f>IFERROR(__xludf.DUMMYFUNCTION("""COMPUTED_VALUE"""),"students have to choose some topic and say, okay, we want to do a presentation on this topic. And that topic can be anything related to DevOps.")</f>
        <v>students have to choose some topic and say, okay, we want to do a presentation on this topic. And that topic can be anything related to DevOps.</v>
      </c>
      <c r="G532" s="22" t="str">
        <f>if(QuotesCheckJudgeAbstract&lt;&gt;"",QuotesCheckJudgeAbstract,if(or(QuotesCheckJudge="",and(QuotesCheckJudge = "primeiro", QuotesCheckChallengeRecommendation1 &lt;&gt; "")), QuotesCheckAbstract1,if(and(QuotesCheckJudge = "segundo", QuotesCheckChallengeRecommendation2 &lt;&gt; ""), QuotesCheckAbstract2,"")))</f>
        <v>Make students prepare a presentation about topics related to DevOps.</v>
      </c>
    </row>
    <row r="533">
      <c r="A533" s="22">
        <f>IFERROR(__xludf.DUMMYFUNCTION("if(or(QuotesCheckJudge="""",and(QuotesCheckJudge = ""primeiro"", QuotesCheckChallengeRecommendation1 &lt;&gt; """"),and(QuotesCheckJudge = ""segundo"", QuotesCheckChallengeRecommendation2 &lt;&gt; """")), filter('Quotes-Check'!A533:D533, 'Quotes-Check'!A533:D533&lt;&gt;""g"&amp;"lugluieie""),"""")"),13.0)</f>
        <v>13</v>
      </c>
      <c r="B533" s="22">
        <f>IFERROR(__xludf.DUMMYFUNCTION("""COMPUTED_VALUE"""),2.0)</f>
        <v>2</v>
      </c>
      <c r="C533" s="2" t="str">
        <f>IFERROR(__xludf.DUMMYFUNCTION("""COMPUTED_VALUE"""),"R2 / R3")</f>
        <v>R2 / R3</v>
      </c>
      <c r="D533" s="22" t="str">
        <f>IFERROR(__xludf.DUMMYFUNCTION("""COMPUTED_VALUE"""),"General Challenges and Recommendations")</f>
        <v>General Challenges and Recommendations</v>
      </c>
      <c r="E533" s="46" t="str">
        <f>IFERROR(__xludf.DUMMYFUNCTION("if(or(QuotesCheckJudge="""",and(QuotesCheckJudge = ""primeiro"", QuotesCheckChallengeRecommendation1 &lt;&gt; """")), filter('Quotes-Check'!E533:F533, 'Quotes-Check'!E533:F533&lt;&gt;""glugluieie""),if(and(QuotesCheckJudge = ""segundo"", QuotesCheckChallengeRecommend"&amp;"ation2 &lt;&gt; """"), filter('Quotes-Check'!I533:J533, 'Quotes-Check'!I533:J533&lt;&gt;""glugluieie""),""""))"),"recommendation")</f>
        <v>recommendation</v>
      </c>
      <c r="F533" s="22" t="str">
        <f>IFERROR(__xludf.DUMMYFUNCTION("""COMPUTED_VALUE"""),"then do, um, do some research about it, write an essay or, uh, or if there is, um, there is a tool available, uh, on GitHub it's, if it's open source, they can contribute to that, uh, to that tool and maybe fix some issues and report it to the teachers.")</f>
        <v>then do, um, do some research about it, write an essay or, uh, or if there is, um, there is a tool available, uh, on GitHub it's, if it's open source, they can contribute to that, uh, to that tool and maybe fix some issues and report it to the teachers.</v>
      </c>
      <c r="G533" s="22" t="str">
        <f>if(QuotesCheckJudgeAbstract&lt;&gt;"",QuotesCheckJudgeAbstract,if(or(QuotesCheckJudge="",and(QuotesCheckJudge = "primeiro", QuotesCheckChallengeRecommendation1 &lt;&gt; "")), QuotesCheckAbstract1,if(and(QuotesCheckJudge = "segundo", QuotesCheckChallengeRecommendation2 &lt;&gt; ""), QuotesCheckAbstract2,"")))</f>
        <v>Do some research about DevOps topic, write an essay, and if the tool is open source, contribute to that tool and fix some issues and report it to the teachers.</v>
      </c>
    </row>
    <row r="534">
      <c r="A534" s="22">
        <f>IFERROR(__xludf.DUMMYFUNCTION("if(or(QuotesCheckJudge="""",and(QuotesCheckJudge = ""primeiro"", QuotesCheckChallengeRecommendation1 &lt;&gt; """"),and(QuotesCheckJudge = ""segundo"", QuotesCheckChallengeRecommendation2 &lt;&gt; """")), filter('Quotes-Check'!A534:D534, 'Quotes-Check'!A534:D534&lt;&gt;""g"&amp;"lugluieie""),"""")"),13.0)</f>
        <v>13</v>
      </c>
      <c r="B534" s="22">
        <f>IFERROR(__xludf.DUMMYFUNCTION("""COMPUTED_VALUE"""),3.0)</f>
        <v>3</v>
      </c>
      <c r="C534" s="2" t="str">
        <f>IFERROR(__xludf.DUMMYFUNCTION("""COMPUTED_VALUE"""),"R1 / R3")</f>
        <v>R1 / R3</v>
      </c>
      <c r="D534" s="22" t="str">
        <f>IFERROR(__xludf.DUMMYFUNCTION("""COMPUTED_VALUE"""),"General Challenges and Recommendations")</f>
        <v>General Challenges and Recommendations</v>
      </c>
      <c r="E534" s="46" t="str">
        <f>IFERROR(__xludf.DUMMYFUNCTION("if(or(QuotesCheckJudge="""",and(QuotesCheckJudge = ""primeiro"", QuotesCheckChallengeRecommendation1 &lt;&gt; """")), filter('Quotes-Check'!E534:F534, 'Quotes-Check'!E534:F534&lt;&gt;""glugluieie""),if(and(QuotesCheckJudge = ""segundo"", QuotesCheckChallengeRecommend"&amp;"ation2 &lt;&gt; """"), filter('Quotes-Check'!I534:J534, 'Quotes-Check'!I534:J534&lt;&gt;""glugluieie""),""""))"),"challenge")</f>
        <v>challenge</v>
      </c>
      <c r="F534" s="22" t="str">
        <f>IFERROR(__xludf.DUMMYFUNCTION("""COMPUTED_VALUE"""),"the main, uh, challenge that we had was that DevOps is, there are many too many tools and, uh, many of these tools are not solid and are not commonly used yet. yet.")</f>
        <v>the main, uh, challenge that we had was that DevOps is, there are many too many tools and, uh, many of these tools are not solid and are not commonly used yet. yet.</v>
      </c>
      <c r="G534" s="22" t="str">
        <f>if(QuotesCheckJudgeAbstract&lt;&gt;"",QuotesCheckJudgeAbstract,if(or(QuotesCheckJudge="",and(QuotesCheckJudge = "primeiro", QuotesCheckChallengeRecommendation1 &lt;&gt; "")), QuotesCheckAbstract1,if(and(QuotesCheckJudge = "segundo", QuotesCheckChallengeRecommendation2 &lt;&gt; ""), QuotesCheckAbstract2,"")))</f>
        <v>Many tools and some are not mature and not commonly used yet.</v>
      </c>
    </row>
    <row r="535">
      <c r="A535" s="22">
        <f>IFERROR(__xludf.DUMMYFUNCTION("if(or(QuotesCheckJudge="""",and(QuotesCheckJudge = ""primeiro"", QuotesCheckChallengeRecommendation1 &lt;&gt; """"),and(QuotesCheckJudge = ""segundo"", QuotesCheckChallengeRecommendation2 &lt;&gt; """")), filter('Quotes-Check'!A535:D535, 'Quotes-Check'!A535:D535&lt;&gt;""g"&amp;"lugluieie""),"""")"),13.0)</f>
        <v>13</v>
      </c>
      <c r="B535" s="22">
        <f>IFERROR(__xludf.DUMMYFUNCTION("""COMPUTED_VALUE"""),5.0)</f>
        <v>5</v>
      </c>
      <c r="C535" s="2" t="str">
        <f>IFERROR(__xludf.DUMMYFUNCTION("""COMPUTED_VALUE"""),"R1 / R3")</f>
        <v>R1 / R3</v>
      </c>
      <c r="D535" s="22" t="str">
        <f>IFERROR(__xludf.DUMMYFUNCTION("""COMPUTED_VALUE"""),"General Challenges and Recommendations")</f>
        <v>General Challenges and Recommendations</v>
      </c>
      <c r="E535" s="46" t="str">
        <f>IFERROR(__xludf.DUMMYFUNCTION("if(or(QuotesCheckJudge="""",and(QuotesCheckJudge = ""primeiro"", QuotesCheckChallengeRecommendation1 &lt;&gt; """")), filter('Quotes-Check'!E535:F535, 'Quotes-Check'!E535:F535&lt;&gt;""glugluieie""),if(and(QuotesCheckJudge = ""segundo"", QuotesCheckChallengeRecommend"&amp;"ation2 &lt;&gt; """"), filter('Quotes-Check'!I535:J535, 'Quotes-Check'!I535:J535&lt;&gt;""glugluieie""),""""))"),"recommendation")</f>
        <v>recommendation</v>
      </c>
      <c r="F535" s="22" t="str">
        <f>IFERROR(__xludf.DUMMYFUNCTION("""COMPUTED_VALUE"""),"everyone who wanted to present a tool or to do a demo or anything else they could give, uh, get some feedback from other students.")</f>
        <v>everyone who wanted to present a tool or to do a demo or anything else they could give, uh, get some feedback from other students.</v>
      </c>
      <c r="G535" s="22" t="str">
        <f>if(QuotesCheckJudgeAbstract&lt;&gt;"",QuotesCheckJudgeAbstract,if(or(QuotesCheckJudge="",and(QuotesCheckJudge = "primeiro", QuotesCheckChallengeRecommendation1 &lt;&gt; "")), QuotesCheckAbstract1,if(and(QuotesCheckJudge = "segundo", QuotesCheckChallengeRecommendation2 &lt;&gt; ""), QuotesCheckAbstract2,"")))</f>
        <v>Students can present a tool or do a demo to get some feedback from others during the classes.</v>
      </c>
    </row>
    <row r="536">
      <c r="A536" s="22">
        <f>IFERROR(__xludf.DUMMYFUNCTION("if(or(QuotesCheckJudge="""",and(QuotesCheckJudge = ""primeiro"", QuotesCheckChallengeRecommendation1 &lt;&gt; """"),and(QuotesCheckJudge = ""segundo"", QuotesCheckChallengeRecommendation2 &lt;&gt; """")), filter('Quotes-Check'!A536:D536, 'Quotes-Check'!A536:D536&lt;&gt;""g"&amp;"lugluieie""),"""")"),13.0)</f>
        <v>13</v>
      </c>
      <c r="B536" s="22">
        <f>IFERROR(__xludf.DUMMYFUNCTION("""COMPUTED_VALUE"""),6.0)</f>
        <v>6</v>
      </c>
      <c r="C536" s="2" t="str">
        <f>IFERROR(__xludf.DUMMYFUNCTION("""COMPUTED_VALUE"""),"R1 / R2")</f>
        <v>R1 / R2</v>
      </c>
      <c r="D536" s="22" t="str">
        <f>IFERROR(__xludf.DUMMYFUNCTION("""COMPUTED_VALUE"""),"General Challenges and Recommendations")</f>
        <v>General Challenges and Recommendations</v>
      </c>
      <c r="E536" s="46" t="str">
        <f>IFERROR(__xludf.DUMMYFUNCTION("if(or(QuotesCheckJudge="""",and(QuotesCheckJudge = ""primeiro"", QuotesCheckChallengeRecommendation1 &lt;&gt; """")), filter('Quotes-Check'!E536:F536, 'Quotes-Check'!E536:F536&lt;&gt;""glugluieie""),if(and(QuotesCheckJudge = ""segundo"", QuotesCheckChallengeRecommend"&amp;"ation2 &lt;&gt; """"), filter('Quotes-Check'!I536:J536, 'Quotes-Check'!I536:J536&lt;&gt;""glugluieie""),""""))"),"recommendation")</f>
        <v>recommendation</v>
      </c>
      <c r="F536" s="22" t="str">
        <f>IFERROR(__xludf.DUMMYFUNCTION("""COMPUTED_VALUE"""),"we can have people, uh, there, there are, uh, there are everywhere that we can invite and, uh, let the students know what is going on in practice, not just some, uh, theoretical, uh, problem. ")</f>
        <v>we can have people, uh, there, there are, uh, there are everywhere that we can invite and, uh, let the students know what is going on in practice, not just some, uh, theoretical, uh, problem. </v>
      </c>
      <c r="G536" s="22" t="str">
        <f>if(QuotesCheckJudgeAbstract&lt;&gt;"",QuotesCheckJudgeAbstract,if(or(QuotesCheckJudge="",and(QuotesCheckJudge = "primeiro", QuotesCheckChallengeRecommendation1 &lt;&gt; "")), QuotesCheckAbstract1,if(and(QuotesCheckJudge = "segundo", QuotesCheckChallengeRecommendation2 &lt;&gt; ""), QuotesCheckAbstract2,"")))</f>
        <v>Invite people to show students what's going on in practice, not only in theoretical problems</v>
      </c>
    </row>
    <row r="537">
      <c r="A537" s="22">
        <f>IFERROR(__xludf.DUMMYFUNCTION("if(or(QuotesCheckJudge="""",and(QuotesCheckJudge = ""primeiro"", QuotesCheckChallengeRecommendation1 &lt;&gt; """"),and(QuotesCheckJudge = ""segundo"", QuotesCheckChallengeRecommendation2 &lt;&gt; """")), filter('Quotes-Check'!A537:D537, 'Quotes-Check'!A537:D537&lt;&gt;""g"&amp;"lugluieie""),"""")"),13.0)</f>
        <v>13</v>
      </c>
      <c r="B537" s="22">
        <f>IFERROR(__xludf.DUMMYFUNCTION("""COMPUTED_VALUE"""),7.0)</f>
        <v>7</v>
      </c>
      <c r="C537" s="2" t="str">
        <f>IFERROR(__xludf.DUMMYFUNCTION("""COMPUTED_VALUE"""),"R2 / R3")</f>
        <v>R2 / R3</v>
      </c>
      <c r="D537" s="22" t="str">
        <f>IFERROR(__xludf.DUMMYFUNCTION("""COMPUTED_VALUE"""),"Environment Setup")</f>
        <v>Environment Setup</v>
      </c>
      <c r="E537" s="46" t="str">
        <f>IFERROR(__xludf.DUMMYFUNCTION("if(or(QuotesCheckJudge="""",and(QuotesCheckJudge = ""primeiro"", QuotesCheckChallengeRecommendation1 &lt;&gt; """")), filter('Quotes-Check'!E537:F537, 'Quotes-Check'!E537:F537&lt;&gt;""glugluieie""),if(and(QuotesCheckJudge = ""segundo"", QuotesCheckChallengeRecommend"&amp;"ation2 &lt;&gt; """"), filter('Quotes-Check'!I537:J537, 'Quotes-Check'!I537:J537&lt;&gt;""glugluieie""),""""))"),"recommendation")</f>
        <v>recommendation</v>
      </c>
      <c r="F537" s="22" t="str">
        <f>IFERROR(__xludf.DUMMYFUNCTION("""COMPUTED_VALUE""")," we asked them to choose a tool, uh, on internet and new tool, and then use that tool and show other students how that works. So, uh, we didn't have some predefined, uh, projects.")</f>
        <v> we asked them to choose a tool, uh, on internet and new tool, and then use that tool and show other students how that works. So, uh, we didn't have some predefined, uh, projects.</v>
      </c>
      <c r="G537" s="22" t="str">
        <f>if(QuotesCheckJudgeAbstract&lt;&gt;"",QuotesCheckJudgeAbstract,if(or(QuotesCheckJudge="",and(QuotesCheckJudge = "primeiro", QuotesCheckChallengeRecommendation1 &lt;&gt; "")), QuotesCheckAbstract1,if(and(QuotesCheckJudge = "segundo", QuotesCheckChallengeRecommendation2 &lt;&gt; ""), QuotesCheckAbstract2,"")))</f>
        <v>The students choose the tools and the projects freely on internet.</v>
      </c>
    </row>
    <row r="538">
      <c r="A538" s="22">
        <f>IFERROR(__xludf.DUMMYFUNCTION("if(or(QuotesCheckJudge="""",and(QuotesCheckJudge = ""primeiro"", QuotesCheckChallengeRecommendation1 &lt;&gt; """"),and(QuotesCheckJudge = ""segundo"", QuotesCheckChallengeRecommendation2 &lt;&gt; """")), filter('Quotes-Check'!A538:D538, 'Quotes-Check'!A538:D538&lt;&gt;""g"&amp;"lugluieie""),"""")"),13.0)</f>
        <v>13</v>
      </c>
      <c r="B538" s="22">
        <f>IFERROR(__xludf.DUMMYFUNCTION("""COMPUTED_VALUE"""),8.0)</f>
        <v>8</v>
      </c>
      <c r="C538" s="2" t="str">
        <f>IFERROR(__xludf.DUMMYFUNCTION("""COMPUTED_VALUE"""),"R1 / R3")</f>
        <v>R1 / R3</v>
      </c>
      <c r="D538" s="22" t="str">
        <f>IFERROR(__xludf.DUMMYFUNCTION("""COMPUTED_VALUE"""),"Environment Setup")</f>
        <v>Environment Setup</v>
      </c>
      <c r="E538" s="46" t="str">
        <f>IFERROR(__xludf.DUMMYFUNCTION("if(or(QuotesCheckJudge="""",and(QuotesCheckJudge = ""primeiro"", QuotesCheckChallengeRecommendation1 &lt;&gt; """")), filter('Quotes-Check'!E538:F538, 'Quotes-Check'!E538:F538&lt;&gt;""glugluieie""),if(and(QuotesCheckJudge = ""segundo"", QuotesCheckChallengeRecommend"&amp;"ation2 &lt;&gt; """"), filter('Quotes-Check'!I538:J538, 'Quotes-Check'!I538:J538&lt;&gt;""glugluieie""),""""))"),"recommendation")</f>
        <v>recommendation</v>
      </c>
      <c r="F538" s="22" t="str">
        <f>IFERROR(__xludf.DUMMYFUNCTION("""COMPUTED_VALUE""")," So, uh, we didn't have some predefined, uh, projects, and as we can, yes, this was a bigger problem for us.")</f>
        <v> So, uh, we didn't have some predefined, uh, projects, and as we can, yes, this was a bigger problem for us.</v>
      </c>
      <c r="G538" s="22" t="str">
        <f>if(QuotesCheckJudgeAbstract&lt;&gt;"",QuotesCheckJudgeAbstract,if(or(QuotesCheckJudge="",and(QuotesCheckJudge = "primeiro", QuotesCheckChallengeRecommendation1 &lt;&gt; "")), QuotesCheckAbstract1,if(and(QuotesCheckJudge = "segundo", QuotesCheckChallengeRecommendation2 &lt;&gt; ""), QuotesCheckAbstract2,"")))</f>
        <v>Not predefined projects is dangerous for the organization of the course.</v>
      </c>
    </row>
    <row r="539">
      <c r="A539" s="22">
        <f>IFERROR(__xludf.DUMMYFUNCTION("if(or(QuotesCheckJudge="""",and(QuotesCheckJudge = ""primeiro"", QuotesCheckChallengeRecommendation1 &lt;&gt; """"),and(QuotesCheckJudge = ""segundo"", QuotesCheckChallengeRecommendation2 &lt;&gt; """")), filter('Quotes-Check'!A539:D539, 'Quotes-Check'!A539:D539&lt;&gt;""g"&amp;"lugluieie""),"""")"),13.0)</f>
        <v>13</v>
      </c>
      <c r="B539" s="22">
        <f>IFERROR(__xludf.DUMMYFUNCTION("""COMPUTED_VALUE"""),8.0)</f>
        <v>8</v>
      </c>
      <c r="C539" s="2" t="str">
        <f>IFERROR(__xludf.DUMMYFUNCTION("""COMPUTED_VALUE"""),"R1 / R3")</f>
        <v>R1 / R3</v>
      </c>
      <c r="D539" s="22" t="str">
        <f>IFERROR(__xludf.DUMMYFUNCTION("""COMPUTED_VALUE"""),"Environment Setup")</f>
        <v>Environment Setup</v>
      </c>
      <c r="E539" s="46" t="str">
        <f>IFERROR(__xludf.DUMMYFUNCTION("if(or(QuotesCheckJudge="""",and(QuotesCheckJudge = ""primeiro"", QuotesCheckChallengeRecommendation1 &lt;&gt; """")), filter('Quotes-Check'!E539:F539, 'Quotes-Check'!E539:F539&lt;&gt;""glugluieie""),if(and(QuotesCheckJudge = ""segundo"", QuotesCheckChallengeRecommend"&amp;"ation2 &lt;&gt; """"), filter('Quotes-Check'!I539:J539, 'Quotes-Check'!I539:J539&lt;&gt;""glugluieie""),""""))"),"recommendation")</f>
        <v>recommendation</v>
      </c>
      <c r="F539" s="22" t="str">
        <f>IFERROR(__xludf.DUMMYFUNCTION("""COMPUTED_VALUE"""),"in fact, some of them, we asked them to, um, to, if they wanted to do a tutorial on a tool, we ask them to upload that tutorial on, uh, Katacoda. ")</f>
        <v>in fact, some of them, we asked them to, um, to, if they wanted to do a tutorial on a tool, we ask them to upload that tutorial on, uh, Katacoda. </v>
      </c>
      <c r="G539" s="22" t="str">
        <f>if(QuotesCheckJudgeAbstract&lt;&gt;"",QuotesCheckJudgeAbstract,if(or(QuotesCheckJudge="",and(QuotesCheckJudge = "primeiro", QuotesCheckChallengeRecommendation1 &lt;&gt; "")), QuotesCheckAbstract1,if(and(QuotesCheckJudge = "segundo", QuotesCheckChallengeRecommendation2 &lt;&gt; ""), QuotesCheckAbstract2,"")))</f>
        <v>Use the Katacoda website to students create tutorials about tools.</v>
      </c>
    </row>
    <row r="540">
      <c r="A540" s="22">
        <f>IFERROR(__xludf.DUMMYFUNCTION("if(or(QuotesCheckJudge="""",and(QuotesCheckJudge = ""primeiro"", QuotesCheckChallengeRecommendation1 &lt;&gt; """"),and(QuotesCheckJudge = ""segundo"", QuotesCheckChallengeRecommendation2 &lt;&gt; """")), filter('Quotes-Check'!A540:D540, 'Quotes-Check'!A540:D540&lt;&gt;""g"&amp;"lugluieie""),"""")"),13.0)</f>
        <v>13</v>
      </c>
      <c r="B540" s="22">
        <f>IFERROR(__xludf.DUMMYFUNCTION("""COMPUTED_VALUE"""),9.0)</f>
        <v>9</v>
      </c>
      <c r="C540" s="2" t="str">
        <f>IFERROR(__xludf.DUMMYFUNCTION("""COMPUTED_VALUE"""),"R1 / R3")</f>
        <v>R1 / R3</v>
      </c>
      <c r="D540" s="22" t="str">
        <f>IFERROR(__xludf.DUMMYFUNCTION("""COMPUTED_VALUE"""),"Environment Setup")</f>
        <v>Environment Setup</v>
      </c>
      <c r="E540" s="46" t="str">
        <f>IFERROR(__xludf.DUMMYFUNCTION("if(or(QuotesCheckJudge="""",and(QuotesCheckJudge = ""primeiro"", QuotesCheckChallengeRecommendation1 &lt;&gt; """")), filter('Quotes-Check'!E540:F540, 'Quotes-Check'!E540:F540&lt;&gt;""glugluieie""),if(and(QuotesCheckJudge = ""segundo"", QuotesCheckChallengeRecommend"&amp;"ation2 &lt;&gt; """"), filter('Quotes-Check'!I540:J540, 'Quotes-Check'!I540:J540&lt;&gt;""glugluieie""),""""))"),"challenge")</f>
        <v>challenge</v>
      </c>
      <c r="F540" s="22" t="str">
        <f>IFERROR(__xludf.DUMMYFUNCTION("""COMPUTED_VALUE"""),"it didn't work for some specific tools that they wanted to present using this a katacoda, uh, website.")</f>
        <v>it didn't work for some specific tools that they wanted to present using this a katacoda, uh, website.</v>
      </c>
      <c r="G540" s="22" t="str">
        <f>if(QuotesCheckJudgeAbstract&lt;&gt;"",QuotesCheckJudgeAbstract,if(or(QuotesCheckJudge="",and(QuotesCheckJudge = "primeiro", QuotesCheckChallengeRecommendation1 &lt;&gt; "")), QuotesCheckAbstract1,if(and(QuotesCheckJudge = "segundo", QuotesCheckChallengeRecommendation2 &lt;&gt; ""), QuotesCheckAbstract2,"")))</f>
        <v>Katacoda does not work for some specific tools.</v>
      </c>
    </row>
    <row r="541">
      <c r="A541" s="22">
        <f>IFERROR(__xludf.DUMMYFUNCTION("if(or(QuotesCheckJudge="""",and(QuotesCheckJudge = ""primeiro"", QuotesCheckChallengeRecommendation1 &lt;&gt; """"),and(QuotesCheckJudge = ""segundo"", QuotesCheckChallengeRecommendation2 &lt;&gt; """")), filter('Quotes-Check'!A541:D541, 'Quotes-Check'!A541:D541&lt;&gt;""g"&amp;"lugluieie""),"""")"),13.0)</f>
        <v>13</v>
      </c>
      <c r="B541" s="22">
        <f>IFERROR(__xludf.DUMMYFUNCTION("""COMPUTED_VALUE"""),10.0)</f>
        <v>10</v>
      </c>
      <c r="C541" s="2" t="str">
        <f>IFERROR(__xludf.DUMMYFUNCTION("""COMPUTED_VALUE"""),"R1 / R3")</f>
        <v>R1 / R3</v>
      </c>
      <c r="D541" s="22" t="str">
        <f>IFERROR(__xludf.DUMMYFUNCTION("""COMPUTED_VALUE"""),"Environment Setup")</f>
        <v>Environment Setup</v>
      </c>
      <c r="E541" s="46" t="str">
        <f>IFERROR(__xludf.DUMMYFUNCTION("if(or(QuotesCheckJudge="""",and(QuotesCheckJudge = ""primeiro"", QuotesCheckChallengeRecommendation1 &lt;&gt; """")), filter('Quotes-Check'!E541:F541, 'Quotes-Check'!E541:F541&lt;&gt;""glugluieie""),if(and(QuotesCheckJudge = ""segundo"", QuotesCheckChallengeRecommend"&amp;"ation2 &lt;&gt; """"), filter('Quotes-Check'!I541:J541, 'Quotes-Check'!I541:J541&lt;&gt;""glugluieie""),""""))"),"recommendation")</f>
        <v>recommendation</v>
      </c>
      <c r="F541" s="22" t="str">
        <f>IFERROR(__xludf.DUMMYFUNCTION("""COMPUTED_VALUE"""),"So we asked the students, uh, to, uh, use another tool if they want to present something that doesn't work on katacoda. So, uh, the way that we solved it was to change the requirements and to change the, uh, change the environment and the tools that they "&amp;"had to use.")</f>
        <v>So we asked the students, uh, to, uh, use another tool if they want to present something that doesn't work on katacoda. So, uh, the way that we solved it was to change the requirements and to change the, uh, change the environment and the tools that they had to use.</v>
      </c>
      <c r="G541" s="22" t="str">
        <f>if(QuotesCheckJudgeAbstract&lt;&gt;"",QuotesCheckJudgeAbstract,if(or(QuotesCheckJudge="",and(QuotesCheckJudge = "primeiro", QuotesCheckChallengeRecommendation1 &lt;&gt; "")), QuotesCheckAbstract1,if(and(QuotesCheckJudge = "segundo", QuotesCheckChallengeRecommendation2 &lt;&gt; ""), QuotesCheckAbstract2,"")))</f>
        <v>Change the requirements and the tools to solve the issues in environment setup on Katacoda.</v>
      </c>
    </row>
    <row r="542">
      <c r="A542" s="22">
        <f>IFERROR(__xludf.DUMMYFUNCTION("if(or(QuotesCheckJudge="""",and(QuotesCheckJudge = ""primeiro"", QuotesCheckChallengeRecommendation1 &lt;&gt; """"),and(QuotesCheckJudge = ""segundo"", QuotesCheckChallengeRecommendation2 &lt;&gt; """")), filter('Quotes-Check'!A542:D542, 'Quotes-Check'!A542:D542&lt;&gt;""g"&amp;"lugluieie""),"""")"),13.0)</f>
        <v>13</v>
      </c>
      <c r="B542" s="22">
        <f>IFERROR(__xludf.DUMMYFUNCTION("""COMPUTED_VALUE"""),11.0)</f>
        <v>11</v>
      </c>
      <c r="C542" s="2" t="str">
        <f>IFERROR(__xludf.DUMMYFUNCTION("""COMPUTED_VALUE"""),"R1 / R2")</f>
        <v>R1 / R2</v>
      </c>
      <c r="D542" s="22" t="str">
        <f>IFERROR(__xludf.DUMMYFUNCTION("""COMPUTED_VALUE"""),"Tool / Technology")</f>
        <v>Tool / Technology</v>
      </c>
      <c r="E542" s="46" t="str">
        <f>IFERROR(__xludf.DUMMYFUNCTION("if(or(QuotesCheckJudge="""",and(QuotesCheckJudge = ""primeiro"", QuotesCheckChallengeRecommendation1 &lt;&gt; """")), filter('Quotes-Check'!E542:F542, 'Quotes-Check'!E542:F542&lt;&gt;""glugluieie""),if(and(QuotesCheckJudge = ""segundo"", QuotesCheckChallengeRecommend"&amp;"ation2 &lt;&gt; """"), filter('Quotes-Check'!I542:J542, 'Quotes-Check'!I542:J542&lt;&gt;""glugluieie""),""""))"),"recommendation")</f>
        <v>recommendation</v>
      </c>
      <c r="F542" s="22" t="str">
        <f>IFERROR(__xludf.DUMMYFUNCTION("""COMPUTED_VALUE"""),"just find whatever they want to find and work on whatever they want to work on and let them be free since that was our goal in this course, uh, we let them choose, um, novel technologies, the technologies and the tools that are being used, uh, today and t"&amp;"he tools that are being developed today. ")</f>
        <v>just find whatever they want to find and work on whatever they want to work on and let them be free since that was our goal in this course, uh, we let them choose, um, novel technologies, the technologies and the tools that are being used, uh, today and the tools that are being developed today. </v>
      </c>
      <c r="G542" s="22" t="str">
        <f>if(QuotesCheckJudgeAbstract&lt;&gt;"",QuotesCheckJudgeAbstract,if(or(QuotesCheckJudge="",and(QuotesCheckJudge = "primeiro", QuotesCheckChallengeRecommendation1 &lt;&gt; "")), QuotesCheckAbstract1,if(and(QuotesCheckJudge = "segundo", QuotesCheckChallengeRecommendation2 &lt;&gt; ""), QuotesCheckAbstract2,"")))</f>
        <v>Let the students be free about the used tools and technologies.</v>
      </c>
    </row>
    <row r="543">
      <c r="A543" s="22">
        <f>IFERROR(__xludf.DUMMYFUNCTION("if(or(QuotesCheckJudge="""",and(QuotesCheckJudge = ""primeiro"", QuotesCheckChallengeRecommendation1 &lt;&gt; """"),and(QuotesCheckJudge = ""segundo"", QuotesCheckChallengeRecommendation2 &lt;&gt; """")), filter('Quotes-Check'!A543:D543, 'Quotes-Check'!A543:D543&lt;&gt;""g"&amp;"lugluieie""),"""")"),13.0)</f>
        <v>13</v>
      </c>
      <c r="B543" s="22">
        <f>IFERROR(__xludf.DUMMYFUNCTION("""COMPUTED_VALUE"""),12.0)</f>
        <v>12</v>
      </c>
      <c r="C543" s="2" t="str">
        <f>IFERROR(__xludf.DUMMYFUNCTION("""COMPUTED_VALUE"""),"R2 / R3")</f>
        <v>R2 / R3</v>
      </c>
      <c r="D543" s="22" t="str">
        <f>IFERROR(__xludf.DUMMYFUNCTION("""COMPUTED_VALUE"""),"DevOps Concepts")</f>
        <v>DevOps Concepts</v>
      </c>
      <c r="E543" s="46" t="str">
        <f>IFERROR(__xludf.DUMMYFUNCTION("if(or(QuotesCheckJudge="""",and(QuotesCheckJudge = ""primeiro"", QuotesCheckChallengeRecommendation1 &lt;&gt; """")), filter('Quotes-Check'!E543:F543, 'Quotes-Check'!E543:F543&lt;&gt;""glugluieie""),if(and(QuotesCheckJudge = ""segundo"", QuotesCheckChallengeRecommend"&amp;"ation2 &lt;&gt; """"), filter('Quotes-Check'!I543:J543, 'Quotes-Check'!I543:J543&lt;&gt;""glugluieie""),""""))"),"recommendation")</f>
        <v>recommendation</v>
      </c>
      <c r="F543" s="22" t="str">
        <f>IFERROR(__xludf.DUMMYFUNCTION("""COMPUTED_VALUE"""),"many of them did was to engage in the, uh, in the development process of the, uh, of the large projects that other people are working on. And, uh, they could choose a project, I think with more than a hundred stars. ...  And they had to make sure that the"&amp;"y pass all the, uh, all the steps and they had to do some contributions, but to there, to those for repositories. And, uh, and they had to also engage in a conversation with other people from other teams, uh, in the process that, uh, they were, uh, making"&amp;" those contributions.
")</f>
        <v>many of them did was to engage in the, uh, in the development process of the, uh, of the large projects that other people are working on. And, uh, they could choose a project, I think with more than a hundred stars. ...  And they had to make sure that they pass all the, uh, all the steps and they had to do some contributions, but to there, to those for repositories. And, uh, and they had to also engage in a conversation with other people from other teams, uh, in the process that, uh, they were, uh, making those contributions.
</v>
      </c>
      <c r="G543" s="22" t="str">
        <f>if(QuotesCheckJudgeAbstract&lt;&gt;"",QuotesCheckJudgeAbstract,if(or(QuotesCheckJudge="",and(QuotesCheckJudge = "primeiro", QuotesCheckChallengeRecommendation1 &lt;&gt; "")), QuotesCheckAbstract1,if(and(QuotesCheckJudge = "segundo", QuotesCheckChallengeRecommendation2 &lt;&gt; ""), QuotesCheckAbstract2,"")))</f>
        <v>The students should contribute and engage in the development process of the large projects with more than a hundred stars on Github.</v>
      </c>
    </row>
    <row r="544">
      <c r="A544" s="22">
        <f>IFERROR(__xludf.DUMMYFUNCTION("if(or(QuotesCheckJudge="""",and(QuotesCheckJudge = ""primeiro"", QuotesCheckChallengeRecommendation1 &lt;&gt; """"),and(QuotesCheckJudge = ""segundo"", QuotesCheckChallengeRecommendation2 &lt;&gt; """")), filter('Quotes-Check'!A544:D544, 'Quotes-Check'!A544:D544&lt;&gt;""g"&amp;"lugluieie""),"""")"),13.0)</f>
        <v>13</v>
      </c>
      <c r="B544" s="22">
        <f>IFERROR(__xludf.DUMMYFUNCTION("""COMPUTED_VALUE"""),12.0)</f>
        <v>12</v>
      </c>
      <c r="C544" s="2" t="str">
        <f>IFERROR(__xludf.DUMMYFUNCTION("""COMPUTED_VALUE"""),"R2 / R3")</f>
        <v>R2 / R3</v>
      </c>
      <c r="D544" s="22" t="str">
        <f>IFERROR(__xludf.DUMMYFUNCTION("""COMPUTED_VALUE"""),"DevOps Concepts")</f>
        <v>DevOps Concepts</v>
      </c>
      <c r="E544" s="46" t="str">
        <f>IFERROR(__xludf.DUMMYFUNCTION("if(or(QuotesCheckJudge="""",and(QuotesCheckJudge = ""primeiro"", QuotesCheckChallengeRecommendation1 &lt;&gt; """")), filter('Quotes-Check'!E544:F544, 'Quotes-Check'!E544:F544&lt;&gt;""glugluieie""),if(and(QuotesCheckJudge = ""segundo"", QuotesCheckChallengeRecommend"&amp;"ation2 &lt;&gt; """"), filter('Quotes-Check'!I544:J544, 'Quotes-Check'!I544:J544&lt;&gt;""glugluieie""),""""))"),"recommendation")</f>
        <v>recommendation</v>
      </c>
      <c r="F544" s="22" t="str">
        <f>IFERROR(__xludf.DUMMYFUNCTION("""COMPUTED_VALUE"""),"and they had to also engage in a conversation with other people from other teams, uh, in the process that, uh, they were, uh, making those contributions.
")</f>
        <v>and they had to also engage in a conversation with other people from other teams, uh, in the process that, uh, they were, uh, making those contributions.
</v>
      </c>
      <c r="G544" s="22" t="str">
        <f>if(QuotesCheckJudgeAbstract&lt;&gt;"",QuotesCheckJudgeAbstract,if(or(QuotesCheckJudge="",and(QuotesCheckJudge = "primeiro", QuotesCheckChallengeRecommendation1 &lt;&gt; "")), QuotesCheckAbstract1,if(and(QuotesCheckJudge = "segundo", QuotesCheckChallengeRecommendation2 &lt;&gt; ""), QuotesCheckAbstract2,"")))</f>
        <v>Make students engage with people from other teams in the classes.</v>
      </c>
    </row>
    <row r="545">
      <c r="A545" s="22">
        <f>IFERROR(__xludf.DUMMYFUNCTION("if(or(QuotesCheckJudge="""",and(QuotesCheckJudge = ""primeiro"", QuotesCheckChallengeRecommendation1 &lt;&gt; """"),and(QuotesCheckJudge = ""segundo"", QuotesCheckChallengeRecommendation2 &lt;&gt; """")), filter('Quotes-Check'!A545:D545, 'Quotes-Check'!A545:D545&lt;&gt;""g"&amp;"lugluieie""),"""")"),13.0)</f>
        <v>13</v>
      </c>
      <c r="B545" s="22">
        <f>IFERROR(__xludf.DUMMYFUNCTION("""COMPUTED_VALUE"""),13.0)</f>
        <v>13</v>
      </c>
      <c r="C545" s="2" t="str">
        <f>IFERROR(__xludf.DUMMYFUNCTION("""COMPUTED_VALUE"""),"R1 / R3")</f>
        <v>R1 / R3</v>
      </c>
      <c r="D545" s="22" t="str">
        <f>IFERROR(__xludf.DUMMYFUNCTION("""COMPUTED_VALUE"""),"DevOps Concepts")</f>
        <v>DevOps Concepts</v>
      </c>
      <c r="E545" s="46" t="str">
        <f>IFERROR(__xludf.DUMMYFUNCTION("if(or(QuotesCheckJudge="""",and(QuotesCheckJudge = ""primeiro"", QuotesCheckChallengeRecommendation1 &lt;&gt; """")), filter('Quotes-Check'!E545:F545, 'Quotes-Check'!E545:F545&lt;&gt;""glugluieie""),if(and(QuotesCheckJudge = ""segundo"", QuotesCheckChallengeRecommend"&amp;"ation2 &lt;&gt; """"), filter('Quotes-Check'!I545:J545, 'Quotes-Check'!I545:J545&lt;&gt;""glugluieie""),""""))"),"recommendation")</f>
        <v>recommendation</v>
      </c>
      <c r="F545" s="22" t="str">
        <f>IFERROR(__xludf.DUMMYFUNCTION("""COMPUTED_VALUE"""),"other task that we ask them to do something for our own course, and, uh, then, uh, engage in a conversation with TAs and other students to make sure everything's more work well.")</f>
        <v>other task that we ask them to do something for our own course, and, uh, then, uh, engage in a conversation with TAs and other students to make sure everything's more work well.</v>
      </c>
      <c r="G545" s="22" t="str">
        <f>if(QuotesCheckJudgeAbstract&lt;&gt;"",QuotesCheckJudgeAbstract,if(or(QuotesCheckJudge="",and(QuotesCheckJudge = "primeiro", QuotesCheckChallengeRecommendation1 &lt;&gt; "")), QuotesCheckAbstract1,if(and(QuotesCheckJudge = "segundo", QuotesCheckChallengeRecommendation2 &lt;&gt; ""), QuotesCheckAbstract2,"")))</f>
        <v>Engage in a conversation with teacher assistants and other students to make sure everything's more work well.</v>
      </c>
    </row>
    <row r="546">
      <c r="A546" s="22">
        <f>IFERROR(__xludf.DUMMYFUNCTION("if(or(QuotesCheckJudge="""",and(QuotesCheckJudge = ""primeiro"", QuotesCheckChallengeRecommendation1 &lt;&gt; """"),and(QuotesCheckJudge = ""segundo"", QuotesCheckChallengeRecommendation2 &lt;&gt; """")), filter('Quotes-Check'!A546:D546, 'Quotes-Check'!A546:D546&lt;&gt;""g"&amp;"lugluieie""),"""")"),13.0)</f>
        <v>13</v>
      </c>
      <c r="B546" s="22">
        <f>IFERROR(__xludf.DUMMYFUNCTION("""COMPUTED_VALUE"""),14.0)</f>
        <v>14</v>
      </c>
      <c r="C546" s="2" t="str">
        <f>IFERROR(__xludf.DUMMYFUNCTION("""COMPUTED_VALUE"""),"R1 / R3")</f>
        <v>R1 / R3</v>
      </c>
      <c r="D546" s="22" t="str">
        <f>IFERROR(__xludf.DUMMYFUNCTION("""COMPUTED_VALUE"""),"Class Preparation")</f>
        <v>Class Preparation</v>
      </c>
      <c r="E546" s="46" t="str">
        <f>IFERROR(__xludf.DUMMYFUNCTION("if(or(QuotesCheckJudge="""",and(QuotesCheckJudge = ""primeiro"", QuotesCheckChallengeRecommendation1 &lt;&gt; """")), filter('Quotes-Check'!E546:F546, 'Quotes-Check'!E546:F546&lt;&gt;""glugluieie""),if(and(QuotesCheckJudge = ""segundo"", QuotesCheckChallengeRecommend"&amp;"ation2 &lt;&gt; """"), filter('Quotes-Check'!I546:J546, 'Quotes-Check'!I546:J546&lt;&gt;""glugluieie""),""""))"),"recommendation")</f>
        <v>recommendation</v>
      </c>
      <c r="F546" s="22" t="str">
        <f>IFERROR(__xludf.DUMMYFUNCTION("""COMPUTED_VALUE""")," the lectures were not, uh, were not presented by the teachers. They were presented by the people who are, who were from the industry and invited to the, uh, to the course to present something for students.")</f>
        <v> the lectures were not, uh, were not presented by the teachers. They were presented by the people who are, who were from the industry and invited to the, uh, to the course to present something for students.</v>
      </c>
      <c r="G546" s="22" t="str">
        <f>if(QuotesCheckJudgeAbstract&lt;&gt;"",QuotesCheckJudgeAbstract,if(or(QuotesCheckJudge="",and(QuotesCheckJudge = "primeiro", QuotesCheckChallengeRecommendation1 &lt;&gt; "")), QuotesCheckAbstract1,if(and(QuotesCheckJudge = "segundo", QuotesCheckChallengeRecommendation2 &lt;&gt; ""), QuotesCheckAbstract2,"")))</f>
        <v>The lectures could be presented by people who were from the industry.</v>
      </c>
    </row>
    <row r="547">
      <c r="A547" s="22">
        <f>IFERROR(__xludf.DUMMYFUNCTION("if(or(QuotesCheckJudge="""",and(QuotesCheckJudge = ""primeiro"", QuotesCheckChallengeRecommendation1 &lt;&gt; """"),and(QuotesCheckJudge = ""segundo"", QuotesCheckChallengeRecommendation2 &lt;&gt; """")), filter('Quotes-Check'!A547:D547, 'Quotes-Check'!A547:D547&lt;&gt;""g"&amp;"lugluieie""),"""")"),13.0)</f>
        <v>13</v>
      </c>
      <c r="B547" s="22">
        <f>IFERROR(__xludf.DUMMYFUNCTION("""COMPUTED_VALUE"""),15.0)</f>
        <v>15</v>
      </c>
      <c r="C547" s="2" t="str">
        <f>IFERROR(__xludf.DUMMYFUNCTION("""COMPUTED_VALUE"""),"R1 / R3")</f>
        <v>R1 / R3</v>
      </c>
      <c r="D547" s="22" t="str">
        <f>IFERROR(__xludf.DUMMYFUNCTION("""COMPUTED_VALUE"""),"Class Preparation")</f>
        <v>Class Preparation</v>
      </c>
      <c r="E547" s="46" t="str">
        <f>IFERROR(__xludf.DUMMYFUNCTION("if(or(QuotesCheckJudge="""",and(QuotesCheckJudge = ""primeiro"", QuotesCheckChallengeRecommendation1 &lt;&gt; """")), filter('Quotes-Check'!E547:F547, 'Quotes-Check'!E547:F547&lt;&gt;""glugluieie""),if(and(QuotesCheckJudge = ""segundo"", QuotesCheckChallengeRecommend"&amp;"ation2 &lt;&gt; """"), filter('Quotes-Check'!I547:J547, 'Quotes-Check'!I547:J547&lt;&gt;""glugluieie""),""""))"),"recommendation")</f>
        <v>recommendation</v>
      </c>
      <c r="F547" s="22" t="str">
        <f>IFERROR(__xludf.DUMMYFUNCTION("""COMPUTED_VALUE"""),"we had to do as TAs and other things I think, uh, we, it's not, uh, only before the lecture, but during the whole, uh, time that this, uh, this course was, uh, going on, we had to check the, uh, check the github. And, um, students had, since they had to m"&amp;"ake some contributions, uh, we had to make sure that their contributions, uh, could pass all the checks that we had. [...] So we had to check that they were doing what they were supposed to do before the lectures, during the lectures and after it. So that"&amp;" was our, uh, our role in this course.")</f>
        <v>we had to do as TAs and other things I think, uh, we, it's not, uh, only before the lecture, but during the whole, uh, time that this, uh, this course was, uh, going on, we had to check the, uh, check the github. And, um, students had, since they had to make some contributions, uh, we had to make sure that their contributions, uh, could pass all the checks that we had. [...] So we had to check that they were doing what they were supposed to do before the lectures, during the lectures and after it. So that was our, uh, our role in this course.</v>
      </c>
      <c r="G547" s="22" t="str">
        <f>if(QuotesCheckJudgeAbstract&lt;&gt;"",QuotesCheckJudgeAbstract,if(or(QuotesCheckJudge="",and(QuotesCheckJudge = "primeiro", QuotesCheckChallengeRecommendation1 &lt;&gt; "")), QuotesCheckAbstract1,if(and(QuotesCheckJudge = "segundo", QuotesCheckChallengeRecommendation2 &lt;&gt; ""), QuotesCheckAbstract2,"")))</f>
        <v>Teacher assistants check if students contributions pass all the roles of the course.</v>
      </c>
    </row>
    <row r="548">
      <c r="A548" s="22">
        <f>IFERROR(__xludf.DUMMYFUNCTION("if(or(QuotesCheckJudge="""",and(QuotesCheckJudge = ""primeiro"", QuotesCheckChallengeRecommendation1 &lt;&gt; """"),and(QuotesCheckJudge = ""segundo"", QuotesCheckChallengeRecommendation2 &lt;&gt; """")), filter('Quotes-Check'!A548:D548, 'Quotes-Check'!A548:D548&lt;&gt;""g"&amp;"lugluieie""),"""")"),13.0)</f>
        <v>13</v>
      </c>
      <c r="B548" s="22">
        <f>IFERROR(__xludf.DUMMYFUNCTION("""COMPUTED_VALUE"""),15.0)</f>
        <v>15</v>
      </c>
      <c r="C548" s="2" t="str">
        <f>IFERROR(__xludf.DUMMYFUNCTION("""COMPUTED_VALUE"""),"R1 / R3")</f>
        <v>R1 / R3</v>
      </c>
      <c r="D548" s="22" t="str">
        <f>IFERROR(__xludf.DUMMYFUNCTION("""COMPUTED_VALUE"""),"Class Preparation")</f>
        <v>Class Preparation</v>
      </c>
      <c r="E548" s="46" t="str">
        <f>IFERROR(__xludf.DUMMYFUNCTION("if(or(QuotesCheckJudge="""",and(QuotesCheckJudge = ""primeiro"", QuotesCheckChallengeRecommendation1 &lt;&gt; """")), filter('Quotes-Check'!E548:F548, 'Quotes-Check'!E548:F548&lt;&gt;""glugluieie""),if(and(QuotesCheckJudge = ""segundo"", QuotesCheckChallengeRecommend"&amp;"ation2 &lt;&gt; """"), filter('Quotes-Check'!I548:J548, 'Quotes-Check'!I548:J548&lt;&gt;""glugluieie""),""""))"),"recommendation")</f>
        <v>recommendation</v>
      </c>
      <c r="F548" s="22" t="str">
        <f>IFERROR(__xludf.DUMMYFUNCTION("""COMPUTED_VALUE"""),"we had a long Google doc that the students during the lectures and after the lectures, students could add their questions there. And then we, the TAs could answer the questions, uh, in the doc. ")</f>
        <v>we had a long Google doc that the students during the lectures and after the lectures, students could add their questions there. And then we, the TAs could answer the questions, uh, in the doc. </v>
      </c>
      <c r="G548" s="22" t="str">
        <f>if(QuotesCheckJudgeAbstract&lt;&gt;"",QuotesCheckJudgeAbstract,if(or(QuotesCheckJudge="",and(QuotesCheckJudge = "primeiro", QuotesCheckChallengeRecommendation1 &lt;&gt; "")), QuotesCheckAbstract1,if(and(QuotesCheckJudge = "segundo", QuotesCheckChallengeRecommendation2 &lt;&gt; ""), QuotesCheckAbstract2,"")))</f>
        <v>Use Google Docs during the lectures so students could add their questions. Teacher Assistants could answer the questions in the doc.</v>
      </c>
    </row>
    <row r="549">
      <c r="A549" s="22">
        <f>IFERROR(__xludf.DUMMYFUNCTION("if(or(QuotesCheckJudge="""",and(QuotesCheckJudge = ""primeiro"", QuotesCheckChallengeRecommendation1 &lt;&gt; """"),and(QuotesCheckJudge = ""segundo"", QuotesCheckChallengeRecommendation2 &lt;&gt; """")), filter('Quotes-Check'!A549:D549, 'Quotes-Check'!A549:D549&lt;&gt;""g"&amp;"lugluieie""),"""")"),13.0)</f>
        <v>13</v>
      </c>
      <c r="B549" s="22">
        <f>IFERROR(__xludf.DUMMYFUNCTION("""COMPUTED_VALUE"""),16.0)</f>
        <v>16</v>
      </c>
      <c r="C549" s="2" t="str">
        <f>IFERROR(__xludf.DUMMYFUNCTION("""COMPUTED_VALUE"""),"R1 / R2")</f>
        <v>R1 / R2</v>
      </c>
      <c r="D549" s="22" t="str">
        <f>IFERROR(__xludf.DUMMYFUNCTION("""COMPUTED_VALUE"""),"Pedagogy")</f>
        <v>Pedagogy</v>
      </c>
      <c r="E549" s="46" t="str">
        <f>IFERROR(__xludf.DUMMYFUNCTION("if(or(QuotesCheckJudge="""",and(QuotesCheckJudge = ""primeiro"", QuotesCheckChallengeRecommendation1 &lt;&gt; """")), filter('Quotes-Check'!E549:F549, 'Quotes-Check'!E549:F549&lt;&gt;""glugluieie""),if(and(QuotesCheckJudge = ""segundo"", QuotesCheckChallengeRecommend"&amp;"ation2 &lt;&gt; """"), filter('Quotes-Check'!I549:J549, 'Quotes-Check'!I549:J549&lt;&gt;""glugluieie""),""""))"),"recommendation")</f>
        <v>recommendation</v>
      </c>
      <c r="F549" s="22" t="str">
        <f>IFERROR(__xludf.DUMMYFUNCTION("""COMPUTED_VALUE"""),"I would have some more, uh, time for, uh, for basics of, uh, basics of DevOps and the old technologies, and not only focus on the things that are, uh, that are very novel and very being developed right now. So, uh, because that would give students a bette"&amp;"r opportunity to, uh, understand the, uh, the other things as well.
")</f>
        <v>I would have some more, uh, time for, uh, for basics of, uh, basics of DevOps and the old technologies, and not only focus on the things that are, uh, that are very novel and very being developed right now. So, uh, because that would give students a better opportunity to, uh, understand the, uh, the other things as well.
</v>
      </c>
      <c r="G549" s="22" t="str">
        <f>if(QuotesCheckJudgeAbstract&lt;&gt;"",QuotesCheckJudgeAbstract,if(or(QuotesCheckJudge="",and(QuotesCheckJudge = "primeiro", QuotesCheckChallengeRecommendation1 &lt;&gt; "")), QuotesCheckAbstract1,if(and(QuotesCheckJudge = "segundo", QuotesCheckChallengeRecommendation2 &lt;&gt; ""), QuotesCheckAbstract2,"")))</f>
        <v>Not just focus on the current, but teach the basics of DevOps and older technologies to a better understanding</v>
      </c>
    </row>
    <row r="550">
      <c r="A550" s="22">
        <f>IFERROR(__xludf.DUMMYFUNCTION("if(or(QuotesCheckJudge="""",and(QuotesCheckJudge = ""primeiro"", QuotesCheckChallengeRecommendation1 &lt;&gt; """"),and(QuotesCheckJudge = ""segundo"", QuotesCheckChallengeRecommendation2 &lt;&gt; """")), filter('Quotes-Check'!A550:D550, 'Quotes-Check'!A550:D550&lt;&gt;""g"&amp;"lugluieie""),"""")"),13.0)</f>
        <v>13</v>
      </c>
      <c r="B550" s="22">
        <f>IFERROR(__xludf.DUMMYFUNCTION("""COMPUTED_VALUE"""),17.0)</f>
        <v>17</v>
      </c>
      <c r="C550" s="2" t="str">
        <f>IFERROR(__xludf.DUMMYFUNCTION("""COMPUTED_VALUE"""),"R2 / R3")</f>
        <v>R2 / R3</v>
      </c>
      <c r="D550" s="22" t="str">
        <f>IFERROR(__xludf.DUMMYFUNCTION("""COMPUTED_VALUE"""),"Pedagogy")</f>
        <v>Pedagogy</v>
      </c>
      <c r="E550" s="46" t="str">
        <f>IFERROR(__xludf.DUMMYFUNCTION("if(or(QuotesCheckJudge="""",and(QuotesCheckJudge = ""primeiro"", QuotesCheckChallengeRecommendation1 &lt;&gt; """")), filter('Quotes-Check'!E550:F550, 'Quotes-Check'!E550:F550&lt;&gt;""glugluieie""),if(and(QuotesCheckJudge = ""segundo"", QuotesCheckChallengeRecommend"&amp;"ation2 &lt;&gt; """"), filter('Quotes-Check'!I550:J550, 'Quotes-Check'!I550:J550&lt;&gt;""glugluieie""),""""))"),"challenge")</f>
        <v>challenge</v>
      </c>
      <c r="F550" s="22" t="str">
        <f>IFERROR(__xludf.DUMMYFUNCTION("""COMPUTED_VALUE"""),"we invited people from the industry, and that was the only lectures that we had. ... So some students were a bit confused because of that, uh, because they didn't know the background. ")</f>
        <v>we invited people from the industry, and that was the only lectures that we had. ... So some students were a bit confused because of that, uh, because they didn't know the background. </v>
      </c>
      <c r="G550" s="22" t="str">
        <f>if(QuotesCheckJudgeAbstract&lt;&gt;"",QuotesCheckJudgeAbstract,if(or(QuotesCheckJudge="",and(QuotesCheckJudge = "primeiro", QuotesCheckChallengeRecommendation1 &lt;&gt; "")), QuotesCheckAbstract1,if(and(QuotesCheckJudge = "segundo", QuotesCheckChallengeRecommendation2 &lt;&gt; ""), QuotesCheckAbstract2,"")))</f>
        <v>The students don't have the proper background to listen the lecture of people from the industry.</v>
      </c>
    </row>
    <row r="551">
      <c r="A551" s="22">
        <f>IFERROR(__xludf.DUMMYFUNCTION("if(or(QuotesCheckJudge="""",and(QuotesCheckJudge = ""primeiro"", QuotesCheckChallengeRecommendation1 &lt;&gt; """"),and(QuotesCheckJudge = ""segundo"", QuotesCheckChallengeRecommendation2 &lt;&gt; """")), filter('Quotes-Check'!A551:D551, 'Quotes-Check'!A551:D551&lt;&gt;""g"&amp;"lugluieie""),"""")"),13.0)</f>
        <v>13</v>
      </c>
      <c r="B551" s="22">
        <f>IFERROR(__xludf.DUMMYFUNCTION("""COMPUTED_VALUE"""),17.0)</f>
        <v>17</v>
      </c>
      <c r="C551" s="2" t="str">
        <f>IFERROR(__xludf.DUMMYFUNCTION("""COMPUTED_VALUE"""),"R2 / R3")</f>
        <v>R2 / R3</v>
      </c>
      <c r="D551" s="22" t="str">
        <f>IFERROR(__xludf.DUMMYFUNCTION("""COMPUTED_VALUE"""),"Pedagogy")</f>
        <v>Pedagogy</v>
      </c>
      <c r="E551" s="46" t="str">
        <f>IFERROR(__xludf.DUMMYFUNCTION("if(or(QuotesCheckJudge="""",and(QuotesCheckJudge = ""primeiro"", QuotesCheckChallengeRecommendation1 &lt;&gt; """")), filter('Quotes-Check'!E551:F551, 'Quotes-Check'!E551:F551&lt;&gt;""glugluieie""),if(and(QuotesCheckJudge = ""segundo"", QuotesCheckChallengeRecommend"&amp;"ation2 &lt;&gt; """"), filter('Quotes-Check'!I551:J551, 'Quotes-Check'!I551:J551&lt;&gt;""glugluieie""),""""))"),"recommendation")</f>
        <v>recommendation</v>
      </c>
      <c r="F551" s="22" t="str">
        <f>IFERROR(__xludf.DUMMYFUNCTION("""COMPUTED_VALUE""")," if it was up to me, I would put some time to laying the background. And I'm talking about basics of DevOps and basics of some tools that are mainly used by everyone.")</f>
        <v> if it was up to me, I would put some time to laying the background. And I'm talking about basics of DevOps and basics of some tools that are mainly used by everyone.</v>
      </c>
      <c r="G551" s="22" t="str">
        <f>if(QuotesCheckJudgeAbstract&lt;&gt;"",QuotesCheckJudgeAbstract,if(or(QuotesCheckJudge="",and(QuotesCheckJudge = "primeiro", QuotesCheckChallengeRecommendation1 &lt;&gt; "")), QuotesCheckAbstract1,if(and(QuotesCheckJudge = "segundo", QuotesCheckChallengeRecommendation2 &lt;&gt; ""), QuotesCheckAbstract2,"")))</f>
        <v>Teacher assistants help students with basics of DevOps concepts and tools.</v>
      </c>
    </row>
    <row r="552">
      <c r="A552" s="22">
        <f>IFERROR(__xludf.DUMMYFUNCTION("if(or(QuotesCheckJudge="""",and(QuotesCheckJudge = ""primeiro"", QuotesCheckChallengeRecommendation1 &lt;&gt; """"),and(QuotesCheckJudge = ""segundo"", QuotesCheckChallengeRecommendation2 &lt;&gt; """")), filter('Quotes-Check'!A552:D552, 'Quotes-Check'!A552:D552&lt;&gt;""g"&amp;"lugluieie""),"""")"),13.0)</f>
        <v>13</v>
      </c>
      <c r="B552" s="22">
        <f>IFERROR(__xludf.DUMMYFUNCTION("""COMPUTED_VALUE"""),18.0)</f>
        <v>18</v>
      </c>
      <c r="C552" s="2" t="str">
        <f>IFERROR(__xludf.DUMMYFUNCTION("""COMPUTED_VALUE"""),"R1 / R3")</f>
        <v>R1 / R3</v>
      </c>
      <c r="D552" s="22" t="str">
        <f>IFERROR(__xludf.DUMMYFUNCTION("""COMPUTED_VALUE"""),"Assessment")</f>
        <v>Assessment</v>
      </c>
      <c r="E552" s="46" t="str">
        <f>IFERROR(__xludf.DUMMYFUNCTION("if(or(QuotesCheckJudge="""",and(QuotesCheckJudge = ""primeiro"", QuotesCheckChallengeRecommendation1 &lt;&gt; """")), filter('Quotes-Check'!E552:F552, 'Quotes-Check'!E552:F552&lt;&gt;""glugluieie""),if(and(QuotesCheckJudge = ""segundo"", QuotesCheckChallengeRecommend"&amp;"ation2 &lt;&gt; """"), filter('Quotes-Check'!I552:J552, 'Quotes-Check'!I552:J552&lt;&gt;""glugluieie""),""""))"),"challenge")</f>
        <v>challenge</v>
      </c>
      <c r="F552" s="22" t="str">
        <f>IFERROR(__xludf.DUMMYFUNCTION("""COMPUTED_VALUE"""),"since the students were free to use any technology and present it ...  it was hard to stay as objective as possible and to have, uh, have the same criteria and metric for, uh, scoring different students, because someone was working on this project, someon"&amp;"e was working on that project.")</f>
        <v>since the students were free to use any technology and present it ...  it was hard to stay as objective as possible and to have, uh, have the same criteria and metric for, uh, scoring different students, because someone was working on this project, someone was working on that project.</v>
      </c>
      <c r="G552" s="22" t="str">
        <f>if(QuotesCheckJudgeAbstract&lt;&gt;"",QuotesCheckJudgeAbstract,if(or(QuotesCheckJudge="",and(QuotesCheckJudge = "primeiro", QuotesCheckChallengeRecommendation1 &lt;&gt; "")), QuotesCheckAbstract1,if(and(QuotesCheckJudge = "segundo", QuotesCheckChallengeRecommendation2 &lt;&gt; ""), QuotesCheckAbstract2,"")))</f>
        <v>It was hard to have the same criteria and metric for scoring different students because they were free to use any technology and present it.</v>
      </c>
    </row>
    <row r="553">
      <c r="A553" s="22">
        <f>IFERROR(__xludf.DUMMYFUNCTION("if(or(QuotesCheckJudge="""",and(QuotesCheckJudge = ""primeiro"", QuotesCheckChallengeRecommendation1 &lt;&gt; """"),and(QuotesCheckJudge = ""segundo"", QuotesCheckChallengeRecommendation2 &lt;&gt; """")), filter('Quotes-Check'!A553:D553, 'Quotes-Check'!A553:D553&lt;&gt;""g"&amp;"lugluieie""),"""")"),13.0)</f>
        <v>13</v>
      </c>
      <c r="B553" s="22">
        <f>IFERROR(__xludf.DUMMYFUNCTION("""COMPUTED_VALUE"""),19.0)</f>
        <v>19</v>
      </c>
      <c r="C553" s="2" t="str">
        <f>IFERROR(__xludf.DUMMYFUNCTION("""COMPUTED_VALUE"""),"R1 / R3")</f>
        <v>R1 / R3</v>
      </c>
      <c r="D553" s="22" t="str">
        <f>IFERROR(__xludf.DUMMYFUNCTION("""COMPUTED_VALUE"""),"Assessment")</f>
        <v>Assessment</v>
      </c>
      <c r="E553" s="46" t="str">
        <f>IFERROR(__xludf.DUMMYFUNCTION("if(or(QuotesCheckJudge="""",and(QuotesCheckJudge = ""primeiro"", QuotesCheckChallengeRecommendation1 &lt;&gt; """")), filter('Quotes-Check'!E553:F553, 'Quotes-Check'!E553:F553&lt;&gt;""glugluieie""),if(and(QuotesCheckJudge = ""segundo"", QuotesCheckChallengeRecommend"&amp;"ation2 &lt;&gt; """"), filter('Quotes-Check'!I553:J553, 'Quotes-Check'!I553:J553&lt;&gt;""glugluieie""),""""))"),"recommendation")</f>
        <v>recommendation</v>
      </c>
      <c r="F553" s="22" t="str">
        <f>IFERROR(__xludf.DUMMYFUNCTION("""COMPUTED_VALUE""")," I think if we lay the rooms, uh, maybe it's more clearly and more specifically, I think students, we know better what they will get from what they do. [...]
I think we will have, uh, we will, um, uh, rewrite some of the rules to make sure that, uh, stude"&amp;"nts know how many points they get for what they do, uh, beforehand we should do it because, uh, it will not be perfect because students can choose many different things. ")</f>
        <v> I think if we lay the rooms, uh, maybe it's more clearly and more specifically, I think students, we know better what they will get from what they do. [...]
I think we will have, uh, we will, um, uh, rewrite some of the rules to make sure that, uh, students know how many points they get for what they do, uh, beforehand we should do it because, uh, it will not be perfect because students can choose many different things. </v>
      </c>
      <c r="G553" s="22" t="str">
        <f>if(QuotesCheckJudgeAbstract&lt;&gt;"",QuotesCheckJudgeAbstract,if(or(QuotesCheckJudge="",and(QuotesCheckJudge = "primeiro", QuotesCheckChallengeRecommendation1 &lt;&gt; "")), QuotesCheckAbstract1,if(and(QuotesCheckJudge = "segundo", QuotesCheckChallengeRecommendation2 &lt;&gt; ""), QuotesCheckAbstract2,"")))</f>
        <v>Make sure the students know the rules of the course. For example how many points they get for what they do.</v>
      </c>
    </row>
    <row r="554">
      <c r="A554" s="22">
        <f>IFERROR(__xludf.DUMMYFUNCTION("if(or(QuotesCheckJudge="""",and(QuotesCheckJudge = ""primeiro"", QuotesCheckChallengeRecommendation1 &lt;&gt; """"),and(QuotesCheckJudge = ""segundo"", QuotesCheckChallengeRecommendation2 &lt;&gt; """")), filter('Quotes-Check'!A554:D554, 'Quotes-Check'!A554:D554&lt;&gt;""g"&amp;"lugluieie""),"""")"),13.0)</f>
        <v>13</v>
      </c>
      <c r="B554" s="22">
        <f>IFERROR(__xludf.DUMMYFUNCTION("""COMPUTED_VALUE"""),20.0)</f>
        <v>20</v>
      </c>
      <c r="C554" s="2" t="str">
        <f>IFERROR(__xludf.DUMMYFUNCTION("""COMPUTED_VALUE"""),"R1 / R3")</f>
        <v>R1 / R3</v>
      </c>
      <c r="D554" s="22" t="str">
        <f>IFERROR(__xludf.DUMMYFUNCTION("""COMPUTED_VALUE"""),"Curriculum")</f>
        <v>Curriculum</v>
      </c>
      <c r="E554" s="46" t="str">
        <f>IFERROR(__xludf.DUMMYFUNCTION("if(or(QuotesCheckJudge="""",and(QuotesCheckJudge = ""primeiro"", QuotesCheckChallengeRecommendation1 &lt;&gt; """")), filter('Quotes-Check'!E554:F554, 'Quotes-Check'!E554:F554&lt;&gt;""glugluieie""),if(and(QuotesCheckJudge = ""segundo"", QuotesCheckChallengeRecommend"&amp;"ation2 &lt;&gt; """"), filter('Quotes-Check'!I554:J554, 'Quotes-Check'!I554:J554&lt;&gt;""glugluieie""),""""))"),"recommendation")</f>
        <v>recommendation</v>
      </c>
      <c r="F554" s="22" t="str">
        <f>IFERROR(__xludf.DUMMYFUNCTION("""COMPUTED_VALUE"""),"I think the time that we had was actually enough, it was, I think about two months ... Students had, uh, four hours in each week and they had to work on the projects, um, as well.  ...  they had some information, some background about software engineering"&amp;".")</f>
        <v>I think the time that we had was actually enough, it was, I think about two months ... Students had, uh, four hours in each week and they had to work on the projects, um, as well.  ...  they had some information, some background about software engineering.</v>
      </c>
      <c r="G554" s="22" t="str">
        <f>if(QuotesCheckJudgeAbstract&lt;&gt;"",QuotesCheckJudgeAbstract,if(or(QuotesCheckJudge="",and(QuotesCheckJudge = "primeiro", QuotesCheckChallengeRecommendation1 &lt;&gt; "")), QuotesCheckAbstract1,if(and(QuotesCheckJudge = "segundo", QuotesCheckChallengeRecommendation2 &lt;&gt; ""), QuotesCheckAbstract2,"")))</f>
        <v>Two months with four hours in each week is enough to students with some background about software engineering.</v>
      </c>
    </row>
    <row r="555">
      <c r="A555" s="22">
        <f>IFERROR(__xludf.DUMMYFUNCTION("if(or(QuotesCheckJudge="""",and(QuotesCheckJudge = ""primeiro"", QuotesCheckChallengeRecommendation1 &lt;&gt; """"),and(QuotesCheckJudge = ""segundo"", QuotesCheckChallengeRecommendation2 &lt;&gt; """")), filter('Quotes-Check'!A555:D555, 'Quotes-Check'!A555:D555&lt;&gt;""g"&amp;"lugluieie""),"""")"),13.0)</f>
        <v>13</v>
      </c>
      <c r="B555" s="22">
        <f>IFERROR(__xludf.DUMMYFUNCTION("""COMPUTED_VALUE"""),21.0)</f>
        <v>21</v>
      </c>
      <c r="C555" s="2" t="str">
        <f>IFERROR(__xludf.DUMMYFUNCTION("""COMPUTED_VALUE"""),"R1 / R2")</f>
        <v>R1 / R2</v>
      </c>
      <c r="D555" s="22" t="str">
        <f>IFERROR(__xludf.DUMMYFUNCTION("""COMPUTED_VALUE"""),"Other Challenge and Recommendation")</f>
        <v>Other Challenge and Recommendation</v>
      </c>
      <c r="E555" s="46" t="str">
        <f>IFERROR(__xludf.DUMMYFUNCTION("if(or(QuotesCheckJudge="""",and(QuotesCheckJudge = ""primeiro"", QuotesCheckChallengeRecommendation1 &lt;&gt; """")), filter('Quotes-Check'!E555:F555, 'Quotes-Check'!E555:F555&lt;&gt;""glugluieie""),if(and(QuotesCheckJudge = ""segundo"", QuotesCheckChallengeRecommend"&amp;"ation2 &lt;&gt; """"), filter('Quotes-Check'!I555:J555, 'Quotes-Check'!I555:J555&lt;&gt;""glugluieie""),""""))"),"recommendation")</f>
        <v>recommendation</v>
      </c>
      <c r="F555" s="22" t="str">
        <f>IFERROR(__xludf.DUMMYFUNCTION("""COMPUTED_VALUE"""),"each week we had, uh, four hours of, uh, lectures and answering questions from students and, and, uh, making, making some points about the course more clear.")</f>
        <v>each week we had, uh, four hours of, uh, lectures and answering questions from students and, and, uh, making, making some points about the course more clear.</v>
      </c>
      <c r="G555" s="22" t="str">
        <f>if(QuotesCheckJudgeAbstract&lt;&gt;"",QuotesCheckJudgeAbstract,if(or(QuotesCheckJudge="",and(QuotesCheckJudge = "primeiro", QuotesCheckChallengeRecommendation1 &lt;&gt; "")), QuotesCheckAbstract1,if(and(QuotesCheckJudge = "segundo", QuotesCheckChallengeRecommendation2 &lt;&gt; ""), QuotesCheckAbstract2,"")))</f>
        <v>Separate time to answer students questions, each week, four hours, lectures and answering questions, making some points about the course more clear.</v>
      </c>
    </row>
    <row r="556">
      <c r="A556" s="22">
        <f>IFERROR(__xludf.DUMMYFUNCTION("if(or(QuotesCheckJudge="""",and(QuotesCheckJudge = ""primeiro"", QuotesCheckChallengeRecommendation1 &lt;&gt; """"),and(QuotesCheckJudge = ""segundo"", QuotesCheckChallengeRecommendation2 &lt;&gt; """")), filter('Quotes-Check'!A556:D556, 'Quotes-Check'!A556:D556&lt;&gt;""g"&amp;"lugluieie""),"""")"),13.0)</f>
        <v>13</v>
      </c>
      <c r="B556" s="22">
        <f>IFERROR(__xludf.DUMMYFUNCTION("""COMPUTED_VALUE"""),21.0)</f>
        <v>21</v>
      </c>
      <c r="C556" s="2" t="str">
        <f>IFERROR(__xludf.DUMMYFUNCTION("""COMPUTED_VALUE"""),"R1 / R2")</f>
        <v>R1 / R2</v>
      </c>
      <c r="D556" s="22" t="str">
        <f>IFERROR(__xludf.DUMMYFUNCTION("""COMPUTED_VALUE"""),"Other Challenge and Recommendation")</f>
        <v>Other Challenge and Recommendation</v>
      </c>
      <c r="E556" s="46" t="str">
        <f>IFERROR(__xludf.DUMMYFUNCTION("if(or(QuotesCheckJudge="""",and(QuotesCheckJudge = ""primeiro"", QuotesCheckChallengeRecommendation1 &lt;&gt; """")), filter('Quotes-Check'!E556:F556, 'Quotes-Check'!E556:F556&lt;&gt;""glugluieie""),if(and(QuotesCheckJudge = ""segundo"", QuotesCheckChallengeRecommend"&amp;"ation2 &lt;&gt; """"), filter('Quotes-Check'!I556:J556, 'Quotes-Check'!I556:J556&lt;&gt;""glugluieie""),""""))"),"recommendation")</f>
        <v>recommendation</v>
      </c>
      <c r="F556" s="22" t="str">
        <f>IFERROR(__xludf.DUMMYFUNCTION("""COMPUTED_VALUE""")," if we can have a students together working together and, um, working on the projects and developing projects together at the same time while the teachers are there and they, uh, we can, uh, see what they are doing, that would be better. And I think we wi"&amp;"ll, uh, hopefully do this, uh, next year when grown-up situation gets better.
")</f>
        <v> if we can have a students together working together and, um, working on the projects and developing projects together at the same time while the teachers are there and they, uh, we can, uh, see what they are doing, that would be better. And I think we will, uh, hopefully do this, uh, next year when grown-up situation gets better.
</v>
      </c>
      <c r="G556" s="22" t="str">
        <f>if(QuotesCheckJudgeAbstract&lt;&gt;"",QuotesCheckJudgeAbstract,if(or(QuotesCheckJudge="",and(QuotesCheckJudge = "primeiro", QuotesCheckChallengeRecommendation1 &lt;&gt; "")), QuotesCheckAbstract1,if(and(QuotesCheckJudge = "segundo", QuotesCheckChallengeRecommendation2 &lt;&gt; ""), QuotesCheckAbstract2,"")))</f>
        <v>Promote a moment to students practice while teachers are around to help them</v>
      </c>
    </row>
    <row r="557">
      <c r="A557" s="22">
        <f>IFERROR(__xludf.DUMMYFUNCTION("if(or(QuotesCheckJudge="""",and(QuotesCheckJudge = ""primeiro"", QuotesCheckChallengeRecommendation1 &lt;&gt; """"),and(QuotesCheckJudge = ""segundo"", QuotesCheckChallengeRecommendation2 &lt;&gt; """")), filter('Quotes-Check'!A557:D557, 'Quotes-Check'!A557:D557&lt;&gt;""g"&amp;"lugluieie""),"""")"),13.0)</f>
        <v>13</v>
      </c>
      <c r="B557" s="22">
        <f>IFERROR(__xludf.DUMMYFUNCTION("""COMPUTED_VALUE"""),22.0)</f>
        <v>22</v>
      </c>
      <c r="C557" s="2" t="str">
        <f>IFERROR(__xludf.DUMMYFUNCTION("""COMPUTED_VALUE"""),"R2 / R3")</f>
        <v>R2 / R3</v>
      </c>
      <c r="D557" s="22" t="str">
        <f>IFERROR(__xludf.DUMMYFUNCTION("""COMPUTED_VALUE"""),"Other Challenge and Recommendation")</f>
        <v>Other Challenge and Recommendation</v>
      </c>
      <c r="E557" s="46" t="str">
        <f>IFERROR(__xludf.DUMMYFUNCTION("if(or(QuotesCheckJudge="""",and(QuotesCheckJudge = ""primeiro"", QuotesCheckChallengeRecommendation1 &lt;&gt; """")), filter('Quotes-Check'!E557:F557, 'Quotes-Check'!E557:F557&lt;&gt;""glugluieie""),if(and(QuotesCheckJudge = ""segundo"", QuotesCheckChallengeRecommend"&amp;"ation2 &lt;&gt; """"), filter('Quotes-Check'!I557:J557, 'Quotes-Check'!I557:J557&lt;&gt;""glugluieie""),""""))"),"recommendation")</f>
        <v>recommendation</v>
      </c>
      <c r="F557" s="22" t="str">
        <f>IFERROR(__xludf.DUMMYFUNCTION("""COMPUTED_VALUE""")," everything in this course was, uh, was, uh, done through the GitHub repository, there are many issues, there are many pull requests and the discussions between TAs and the students and grading everything is there.")</f>
        <v> everything in this course was, uh, was, uh, done through the GitHub repository, there are many issues, there are many pull requests and the discussions between TAs and the students and grading everything is there.</v>
      </c>
      <c r="G557" s="22" t="str">
        <f>if(QuotesCheckJudgeAbstract&lt;&gt;"",QuotesCheckJudgeAbstract,if(or(QuotesCheckJudge="",and(QuotesCheckJudge = "primeiro", QuotesCheckChallengeRecommendation1 &lt;&gt; "")), QuotesCheckAbstract1,if(and(QuotesCheckJudge = "segundo", QuotesCheckChallengeRecommendation2 &lt;&gt; ""), QuotesCheckAbstract2,"")))</f>
        <v>Use Github to record grading, pull requests and discussions between teacher assistants and the students.</v>
      </c>
    </row>
    <row r="558">
      <c r="A558" s="22">
        <f>IFERROR(__xludf.DUMMYFUNCTION("if(or(QuotesCheckJudge="""",and(QuotesCheckJudge = ""primeiro"", QuotesCheckChallengeRecommendation1 &lt;&gt; """"),and(QuotesCheckJudge = ""segundo"", QuotesCheckChallengeRecommendation2 &lt;&gt; """")), filter('Quotes-Check'!A558:D558, 'Quotes-Check'!A558:D558&lt;&gt;""g"&amp;"lugluieie""),"""")"),13.0)</f>
        <v>13</v>
      </c>
      <c r="B558" s="22">
        <f>IFERROR(__xludf.DUMMYFUNCTION("""COMPUTED_VALUE"""),23.0)</f>
        <v>23</v>
      </c>
      <c r="C558" s="2" t="str">
        <f>IFERROR(__xludf.DUMMYFUNCTION("""COMPUTED_VALUE"""),"R1 / R3")</f>
        <v>R1 / R3</v>
      </c>
      <c r="D558" s="22" t="str">
        <f>IFERROR(__xludf.DUMMYFUNCTION("""COMPUTED_VALUE"""),"Other Challenge and Recommendation")</f>
        <v>Other Challenge and Recommendation</v>
      </c>
      <c r="E558" s="46" t="str">
        <f>IFERROR(__xludf.DUMMYFUNCTION("if(or(QuotesCheckJudge="""",and(QuotesCheckJudge = ""primeiro"", QuotesCheckChallengeRecommendation1 &lt;&gt; """")), filter('Quotes-Check'!E558:F558, 'Quotes-Check'!E558:F558&lt;&gt;""glugluieie""),if(and(QuotesCheckJudge = ""segundo"", QuotesCheckChallengeRecommend"&amp;"ation2 &lt;&gt; """"), filter('Quotes-Check'!I558:J558, 'Quotes-Check'!I558:J558&lt;&gt;""glugluieie""),""""))"),"recommendation")</f>
        <v>recommendation</v>
      </c>
      <c r="F558" s="22" t="str">
        <f>IFERROR(__xludf.DUMMYFUNCTION("""COMPUTED_VALUE"""),"they could contribute to some open source projects that are large projects and they are being used. So it's something that I'm looking for. Something we had some stats, uh, on github.")</f>
        <v>they could contribute to some open source projects that are large projects and they are being used. So it's something that I'm looking for. Something we had some stats, uh, on github.</v>
      </c>
      <c r="G558" s="22" t="str">
        <f>if(QuotesCheckJudgeAbstract&lt;&gt;"",QuotesCheckJudgeAbstract,if(or(QuotesCheckJudge="",and(QuotesCheckJudge = "primeiro", QuotesCheckChallengeRecommendation1 &lt;&gt; "")), QuotesCheckAbstract1,if(and(QuotesCheckJudge = "segundo", QuotesCheckChallengeRecommendation2 &lt;&gt; ""), QuotesCheckAbstract2,"")))</f>
        <v>Students could contribute to some open source projects that are large and being used and had more than one hundred stars.</v>
      </c>
    </row>
    <row r="559">
      <c r="A559" s="22">
        <f>IFERROR(__xludf.DUMMYFUNCTION("if(or(QuotesCheckJudge="""",and(QuotesCheckJudge = ""primeiro"", QuotesCheckChallengeRecommendation1 &lt;&gt; """"),and(QuotesCheckJudge = ""segundo"", QuotesCheckChallengeRecommendation2 &lt;&gt; """")), filter('Quotes-Check'!A559:D559, 'Quotes-Check'!A559:D559&lt;&gt;""g"&amp;"lugluieie""),"""")"),13.0)</f>
        <v>13</v>
      </c>
      <c r="B559" s="22">
        <f>IFERROR(__xludf.DUMMYFUNCTION("""COMPUTED_VALUE"""),24.0)</f>
        <v>24</v>
      </c>
      <c r="C559" s="2" t="str">
        <f>IFERROR(__xludf.DUMMYFUNCTION("""COMPUTED_VALUE"""),"R1 / R3")</f>
        <v>R1 / R3</v>
      </c>
      <c r="D559" s="22" t="str">
        <f>IFERROR(__xludf.DUMMYFUNCTION("""COMPUTED_VALUE"""),"Other Challenge and Recommendation")</f>
        <v>Other Challenge and Recommendation</v>
      </c>
      <c r="E559" s="46" t="str">
        <f>IFERROR(__xludf.DUMMYFUNCTION("if(or(QuotesCheckJudge="""",and(QuotesCheckJudge = ""primeiro"", QuotesCheckChallengeRecommendation1 &lt;&gt; """")), filter('Quotes-Check'!E559:F559, 'Quotes-Check'!E559:F559&lt;&gt;""glugluieie""),if(and(QuotesCheckJudge = ""segundo"", QuotesCheckChallengeRecommend"&amp;"ation2 &lt;&gt; """"), filter('Quotes-Check'!I559:J559, 'Quotes-Check'!I559:J559&lt;&gt;""glugluieie""),""""))"),"recommendation")</f>
        <v>recommendation</v>
      </c>
      <c r="F559" s="22" t="str">
        <f>IFERROR(__xludf.DUMMYFUNCTION("""COMPUTED_VALUE"""),"there are many checks in this course, we had to make sure that the students had done this and that, and that these, uh, checks could be, uh, automatized by your students. And they had, they added some GitHub actions and to the repository.")</f>
        <v>there are many checks in this course, we had to make sure that the students had done this and that, and that these, uh, checks could be, uh, automatized by your students. And they had, they added some GitHub actions and to the repository.</v>
      </c>
      <c r="G559" s="22" t="str">
        <f>if(QuotesCheckJudgeAbstract&lt;&gt;"",QuotesCheckJudgeAbstract,if(or(QuotesCheckJudge="",and(QuotesCheckJudge = "primeiro", QuotesCheckChallengeRecommendation1 &lt;&gt; "")), QuotesCheckAbstract1,if(and(QuotesCheckJudge = "segundo", QuotesCheckChallengeRecommendation2 &lt;&gt; ""), QuotesCheckAbstract2,"")))</f>
        <v>Do automation with Github actions.</v>
      </c>
    </row>
    <row r="560">
      <c r="A560" s="22">
        <f>IFERROR(__xludf.DUMMYFUNCTION("if(or(QuotesCheckJudge="""",and(QuotesCheckJudge = ""primeiro"", QuotesCheckChallengeRecommendation1 &lt;&gt; """"),and(QuotesCheckJudge = ""segundo"", QuotesCheckChallengeRecommendation2 &lt;&gt; """")), filter('Quotes-Check'!A560:D560, 'Quotes-Check'!A560:D560&lt;&gt;""g"&amp;"lugluieie""),"""")"),13.0)</f>
        <v>13</v>
      </c>
      <c r="B560" s="22">
        <f>IFERROR(__xludf.DUMMYFUNCTION("""COMPUTED_VALUE"""),24.0)</f>
        <v>24</v>
      </c>
      <c r="C560" s="2" t="str">
        <f>IFERROR(__xludf.DUMMYFUNCTION("""COMPUTED_VALUE"""),"R1 / R3")</f>
        <v>R1 / R3</v>
      </c>
      <c r="D560" s="22" t="str">
        <f>IFERROR(__xludf.DUMMYFUNCTION("""COMPUTED_VALUE"""),"Other Challenge and Recommendation")</f>
        <v>Other Challenge and Recommendation</v>
      </c>
      <c r="E560" s="46" t="str">
        <f>IFERROR(__xludf.DUMMYFUNCTION("if(or(QuotesCheckJudge="""",and(QuotesCheckJudge = ""primeiro"", QuotesCheckChallengeRecommendation1 &lt;&gt; """")), filter('Quotes-Check'!E560:F560, 'Quotes-Check'!E560:F560&lt;&gt;""glugluieie""),if(and(QuotesCheckJudge = ""segundo"", QuotesCheckChallengeRecommend"&amp;"ation2 &lt;&gt; """"), filter('Quotes-Check'!I560:J560, 'Quotes-Check'!I560:J560&lt;&gt;""glugluieie""),""""))"),"recommendation")</f>
        <v>recommendation</v>
      </c>
      <c r="F560" s="22" t="str">
        <f>IFERROR(__xludf.DUMMYFUNCTION("""COMPUTED_VALUE"""),"So that's the course automation and executable tutorial was, uh, chatter, katacoda, um, website. They use the katacoda that website to, uh, to write a tutorial on a tool for them DevOps.")</f>
        <v>So that's the course automation and executable tutorial was, uh, chatter, katacoda, um, website. They use the katacoda that website to, uh, to write a tutorial on a tool for them DevOps.</v>
      </c>
      <c r="G560" s="22" t="str">
        <f>if(QuotesCheckJudgeAbstract&lt;&gt;"",QuotesCheckJudgeAbstract,if(or(QuotesCheckJudge="",and(QuotesCheckJudge = "primeiro", QuotesCheckChallengeRecommendation1 &lt;&gt; "")), QuotesCheckAbstract1,if(and(QuotesCheckJudge = "segundo", QuotesCheckChallengeRecommendation2 &lt;&gt; ""), QuotesCheckAbstract2,"")))</f>
        <v>The students write a tutorial about a DevOps tool on katacoda to describe the course automation.</v>
      </c>
    </row>
    <row r="561">
      <c r="A561" s="22">
        <f>IFERROR(__xludf.DUMMYFUNCTION("if(or(QuotesCheckJudge="""",and(QuotesCheckJudge = ""primeiro"", QuotesCheckChallengeRecommendation1 &lt;&gt; """"),and(QuotesCheckJudge = ""segundo"", QuotesCheckChallengeRecommendation2 &lt;&gt; """")), filter('Quotes-Check'!A561:D561, 'Quotes-Check'!A561:D561&lt;&gt;""g"&amp;"lugluieie""),"""")"),13.0)</f>
        <v>13</v>
      </c>
      <c r="B561" s="22">
        <f>IFERROR(__xludf.DUMMYFUNCTION("""COMPUTED_VALUE"""),25.0)</f>
        <v>25</v>
      </c>
      <c r="C561" s="2" t="str">
        <f>IFERROR(__xludf.DUMMYFUNCTION("""COMPUTED_VALUE"""),"R1 / R3")</f>
        <v>R1 / R3</v>
      </c>
      <c r="D561" s="22" t="str">
        <f>IFERROR(__xludf.DUMMYFUNCTION("""COMPUTED_VALUE"""),"Other Challenge and Recommendation")</f>
        <v>Other Challenge and Recommendation</v>
      </c>
      <c r="E561" s="46" t="str">
        <f>IFERROR(__xludf.DUMMYFUNCTION("if(or(QuotesCheckJudge="""",and(QuotesCheckJudge = ""primeiro"", QuotesCheckChallengeRecommendation1 &lt;&gt; """")), filter('Quotes-Check'!E561:F561, 'Quotes-Check'!E561:F561&lt;&gt;""glugluieie""),if(and(QuotesCheckJudge = ""segundo"", QuotesCheckChallengeRecommend"&amp;"ation2 &lt;&gt; """"), filter('Quotes-Check'!I561:J561, 'Quotes-Check'!I561:J561&lt;&gt;""glugluieie""),""""))"),"challenge")</f>
        <v>challenge</v>
      </c>
      <c r="F561" s="22" t="str">
        <f>IFERROR(__xludf.DUMMYFUNCTION("""COMPUTED_VALUE"""),"it was a bit risk because if they had contributed to something that, uh, that the developers didn't merge they wouldn't get, uh, get the score.")</f>
        <v>it was a bit risk because if they had contributed to something that, uh, that the developers didn't merge they wouldn't get, uh, get the score.</v>
      </c>
      <c r="G561" s="22" t="str">
        <f>if(QuotesCheckJudgeAbstract&lt;&gt;"",QuotesCheckJudgeAbstract,if(or(QuotesCheckJudge="",and(QuotesCheckJudge = "primeiro", QuotesCheckChallengeRecommendation1 &lt;&gt; "")), QuotesCheckAbstract1,if(and(QuotesCheckJudge = "segundo", QuotesCheckChallengeRecommendation2 &lt;&gt; ""), QuotesCheckAbstract2,"")))</f>
        <v>The students wouldn't get the score if they had contributed to some open source project that the developers didn't merge on github.</v>
      </c>
    </row>
    <row r="562">
      <c r="A562" s="22">
        <f>IFERROR(__xludf.DUMMYFUNCTION("if(or(QuotesCheckJudge="""",and(QuotesCheckJudge = ""primeiro"", QuotesCheckChallengeRecommendation1 &lt;&gt; """"),and(QuotesCheckJudge = ""segundo"", QuotesCheckChallengeRecommendation2 &lt;&gt; """")), filter('Quotes-Check'!A562:D562, 'Quotes-Check'!A562:D562&lt;&gt;""g"&amp;"lugluieie""),"""")"),14.0)</f>
        <v>14</v>
      </c>
      <c r="B562" s="22">
        <f>IFERROR(__xludf.DUMMYFUNCTION("""COMPUTED_VALUE"""),1.0)</f>
        <v>1</v>
      </c>
      <c r="C562" s="2" t="str">
        <f>IFERROR(__xludf.DUMMYFUNCTION("""COMPUTED_VALUE"""),"R1 / R2")</f>
        <v>R1 / R2</v>
      </c>
      <c r="D562" s="22" t="str">
        <f>IFERROR(__xludf.DUMMYFUNCTION("""COMPUTED_VALUE"""),"General Challenges and Recommendations")</f>
        <v>General Challenges and Recommendations</v>
      </c>
      <c r="E562" s="46" t="str">
        <f>IFERROR(__xludf.DUMMYFUNCTION("if(or(QuotesCheckJudge="""",and(QuotesCheckJudge = ""primeiro"", QuotesCheckChallengeRecommendation1 &lt;&gt; """")), filter('Quotes-Check'!E562:F562, 'Quotes-Check'!E562:F562&lt;&gt;""glugluieie""),if(and(QuotesCheckJudge = ""segundo"", QuotesCheckChallengeRecommend"&amp;"ation2 &lt;&gt; """"), filter('Quotes-Check'!I562:J562, 'Quotes-Check'!I562:J562&lt;&gt;""glugluieie""),""""))"),"challenge")</f>
        <v>challenge</v>
      </c>
      <c r="F562" s="22" t="str">
        <f>IFERROR(__xludf.DUMMYFUNCTION("""COMPUTED_VALUE""")," let's say political challenge that you have to convince in a way that DevOps is not purely technical and that it's must be part of an academy curriculum.")</f>
        <v> let's say political challenge that you have to convince in a way that DevOps is not purely technical and that it's must be part of an academy curriculum.</v>
      </c>
      <c r="G562" s="22" t="str">
        <f>if(QuotesCheckJudgeAbstract&lt;&gt;"",QuotesCheckJudgeAbstract,if(or(QuotesCheckJudge="",and(QuotesCheckJudge = "primeiro", QuotesCheckChallengeRecommendation1 &lt;&gt; "")), QuotesCheckAbstract1,if(and(QuotesCheckJudge = "segundo", QuotesCheckChallengeRecommendation2 &lt;&gt; ""), QuotesCheckAbstract2,"")))</f>
        <v>Convince people that DevOps is not purely technical and it must be part of an academy curriculum</v>
      </c>
    </row>
    <row r="563">
      <c r="A563" s="22">
        <f>IFERROR(__xludf.DUMMYFUNCTION("if(or(QuotesCheckJudge="""",and(QuotesCheckJudge = ""primeiro"", QuotesCheckChallengeRecommendation1 &lt;&gt; """"),and(QuotesCheckJudge = ""segundo"", QuotesCheckChallengeRecommendation2 &lt;&gt; """")), filter('Quotes-Check'!A563:D563, 'Quotes-Check'!A563:D563&lt;&gt;""g"&amp;"lugluieie""),"""")"),14.0)</f>
        <v>14</v>
      </c>
      <c r="B563" s="22">
        <f>IFERROR(__xludf.DUMMYFUNCTION("""COMPUTED_VALUE"""),2.0)</f>
        <v>2</v>
      </c>
      <c r="C563" s="2" t="str">
        <f>IFERROR(__xludf.DUMMYFUNCTION("""COMPUTED_VALUE"""),"R2 / R3")</f>
        <v>R2 / R3</v>
      </c>
      <c r="D563" s="22" t="str">
        <f>IFERROR(__xludf.DUMMYFUNCTION("""COMPUTED_VALUE"""),"General Challenges and Recommendations")</f>
        <v>General Challenges and Recommendations</v>
      </c>
      <c r="E563" s="46" t="str">
        <f>IFERROR(__xludf.DUMMYFUNCTION("if(or(QuotesCheckJudge="""",and(QuotesCheckJudge = ""primeiro"", QuotesCheckChallengeRecommendation1 &lt;&gt; """")), filter('Quotes-Check'!E563:F563, 'Quotes-Check'!E563:F563&lt;&gt;""glugluieie""),if(and(QuotesCheckJudge = ""segundo"", QuotesCheckChallengeRecommend"&amp;"ation2 &lt;&gt; """"), filter('Quotes-Check'!I563:J563, 'Quotes-Check'!I563:J563&lt;&gt;""glugluieie""),""""))"),"recommendation")</f>
        <v>recommendation</v>
      </c>
      <c r="F563" s="22" t="str">
        <f>IFERROR(__xludf.DUMMYFUNCTION("""COMPUTED_VALUE""")," So I had to find one that was dying and, uh, hopefully the colleague who was handling his dying course forgot to answer to an email.")</f>
        <v> So I had to find one that was dying and, uh, hopefully the colleague who was handling his dying course forgot to answer to an email.</v>
      </c>
      <c r="G563" s="22" t="str">
        <f>if(QuotesCheckJudgeAbstract&lt;&gt;"",QuotesCheckJudgeAbstract,if(or(QuotesCheckJudge="",and(QuotesCheckJudge = "primeiro", QuotesCheckChallengeRecommendation1 &lt;&gt; "")), QuotesCheckAbstract1,if(and(QuotesCheckJudge = "segundo", QuotesCheckChallengeRecommendation2 &lt;&gt; ""), QuotesCheckAbstract2,"")))</f>
        <v>Look for a dying course to include a DevOps one in the curriculum.</v>
      </c>
    </row>
    <row r="564">
      <c r="A564" s="22">
        <f>IFERROR(__xludf.DUMMYFUNCTION("if(or(QuotesCheckJudge="""",and(QuotesCheckJudge = ""primeiro"", QuotesCheckChallengeRecommendation1 &lt;&gt; """"),and(QuotesCheckJudge = ""segundo"", QuotesCheckChallengeRecommendation2 &lt;&gt; """")), filter('Quotes-Check'!A564:D564, 'Quotes-Check'!A564:D564&lt;&gt;""g"&amp;"lugluieie""),"""")"),14.0)</f>
        <v>14</v>
      </c>
      <c r="B564" s="22">
        <f>IFERROR(__xludf.DUMMYFUNCTION("""COMPUTED_VALUE"""),2.0)</f>
        <v>2</v>
      </c>
      <c r="C564" s="2" t="str">
        <f>IFERROR(__xludf.DUMMYFUNCTION("""COMPUTED_VALUE"""),"R2 / R3")</f>
        <v>R2 / R3</v>
      </c>
      <c r="D564" s="22" t="str">
        <f>IFERROR(__xludf.DUMMYFUNCTION("""COMPUTED_VALUE"""),"General Challenges and Recommendations")</f>
        <v>General Challenges and Recommendations</v>
      </c>
      <c r="E564" s="46" t="str">
        <f>IFERROR(__xludf.DUMMYFUNCTION("if(or(QuotesCheckJudge="""",and(QuotesCheckJudge = ""primeiro"", QuotesCheckChallengeRecommendation1 &lt;&gt; """")), filter('Quotes-Check'!E564:F564, 'Quotes-Check'!E564:F564&lt;&gt;""glugluieie""),if(and(QuotesCheckJudge = ""segundo"", QuotesCheckChallengeRecommend"&amp;"ation2 &lt;&gt; """"), filter('Quotes-Check'!I564:J564, 'Quotes-Check'!I564:J564&lt;&gt;""glugluieie""),""""))"),"challenge")</f>
        <v>challenge</v>
      </c>
      <c r="F564" s="22" t="str">
        <f>IFERROR(__xludf.DUMMYFUNCTION("""COMPUTED_VALUE""")," the second point that the second challenge would be [...] skills.  I'm working on software engineering and I'm working on how to build software since the gate.
")</f>
        <v> the second point that the second challenge would be [...] skills.  I'm working on software engineering and I'm working on how to build software since the gate.
</v>
      </c>
      <c r="G564" s="22" t="str">
        <f>if(QuotesCheckJudgeAbstract&lt;&gt;"",QuotesCheckJudgeAbstract,if(or(QuotesCheckJudge="",and(QuotesCheckJudge = "primeiro", QuotesCheckChallengeRecommendation1 &lt;&gt; "")), QuotesCheckAbstract1,if(and(QuotesCheckJudge = "segundo", QuotesCheckChallengeRecommendation2 &lt;&gt; ""), QuotesCheckAbstract2,"")))</f>
        <v>Skills to teach DevOps are challeging.</v>
      </c>
    </row>
    <row r="565">
      <c r="A565" s="22">
        <f>IFERROR(__xludf.DUMMYFUNCTION("if(or(QuotesCheckJudge="""",and(QuotesCheckJudge = ""primeiro"", QuotesCheckChallengeRecommendation1 &lt;&gt; """"),and(QuotesCheckJudge = ""segundo"", QuotesCheckChallengeRecommendation2 &lt;&gt; """")), filter('Quotes-Check'!A565:D565, 'Quotes-Check'!A565:D565&lt;&gt;""g"&amp;"lugluieie""),"""")"),14.0)</f>
        <v>14</v>
      </c>
      <c r="B565" s="22">
        <f>IFERROR(__xludf.DUMMYFUNCTION("""COMPUTED_VALUE"""),3.0)</f>
        <v>3</v>
      </c>
      <c r="C565" s="2" t="str">
        <f>IFERROR(__xludf.DUMMYFUNCTION("""COMPUTED_VALUE"""),"R1 / R3")</f>
        <v>R1 / R3</v>
      </c>
      <c r="D565" s="22" t="str">
        <f>IFERROR(__xludf.DUMMYFUNCTION("""COMPUTED_VALUE"""),"General Challenges and Recommendations")</f>
        <v>General Challenges and Recommendations</v>
      </c>
      <c r="E565" s="46" t="str">
        <f>IFERROR(__xludf.DUMMYFUNCTION("if(or(QuotesCheckJudge="""",and(QuotesCheckJudge = ""primeiro"", QuotesCheckChallengeRecommendation1 &lt;&gt; """")), filter('Quotes-Check'!E565:F565, 'Quotes-Check'!E565:F565&lt;&gt;""glugluieie""),if(and(QuotesCheckJudge = ""segundo"", QuotesCheckChallengeRecommend"&amp;"ation2 &lt;&gt; """"), filter('Quotes-Check'!I565:J565, 'Quotes-Check'!I565:J565&lt;&gt;""glugluieie""),""""))"),"recommendation")</f>
        <v>recommendation</v>
      </c>
      <c r="F565" s="22" t="str">
        <f>IFERROR(__xludf.DUMMYFUNCTION("""COMPUTED_VALUE"""),"I think the course we've built in France was successful because we've done it with a software architect from IBM or the guy who was building, um, like as part of his industrial practice, he was building huge, uh, systems. ")</f>
        <v>I think the course we've built in France was successful because we've done it with a software architect from IBM or the guy who was building, um, like as part of his industrial practice, he was building huge, uh, systems. </v>
      </c>
      <c r="G565" s="22" t="str">
        <f>if(QuotesCheckJudgeAbstract&lt;&gt;"",QuotesCheckJudgeAbstract,if(or(QuotesCheckJudge="",and(QuotesCheckJudge = "primeiro", QuotesCheckChallengeRecommendation1 &lt;&gt; "")), QuotesCheckAbstract1,if(and(QuotesCheckJudge = "segundo", QuotesCheckChallengeRecommendation2 &lt;&gt; ""), QuotesCheckAbstract2,"")))</f>
        <v>It is important to have industrial partnership to share skills to contribute to the course.</v>
      </c>
    </row>
    <row r="566">
      <c r="A566" s="22">
        <f>IFERROR(__xludf.DUMMYFUNCTION("if(or(QuotesCheckJudge="""",and(QuotesCheckJudge = ""primeiro"", QuotesCheckChallengeRecommendation1 &lt;&gt; """"),and(QuotesCheckJudge = ""segundo"", QuotesCheckChallengeRecommendation2 &lt;&gt; """")), filter('Quotes-Check'!A566:D566, 'Quotes-Check'!A566:D566&lt;&gt;""g"&amp;"lugluieie""),"""")"),14.0)</f>
        <v>14</v>
      </c>
      <c r="B566" s="22">
        <f>IFERROR(__xludf.DUMMYFUNCTION("""COMPUTED_VALUE"""),4.0)</f>
        <v>4</v>
      </c>
      <c r="C566" s="2" t="str">
        <f>IFERROR(__xludf.DUMMYFUNCTION("""COMPUTED_VALUE"""),"R1 / R3")</f>
        <v>R1 / R3</v>
      </c>
      <c r="D566" s="22" t="str">
        <f>IFERROR(__xludf.DUMMYFUNCTION("""COMPUTED_VALUE"""),"General Challenges and Recommendations")</f>
        <v>General Challenges and Recommendations</v>
      </c>
      <c r="E566" s="46" t="str">
        <f>IFERROR(__xludf.DUMMYFUNCTION("if(or(QuotesCheckJudge="""",and(QuotesCheckJudge = ""primeiro"", QuotesCheckChallengeRecommendation1 &lt;&gt; """")), filter('Quotes-Check'!E566:F566, 'Quotes-Check'!E566:F566&lt;&gt;""glugluieie""),if(and(QuotesCheckJudge = ""segundo"", QuotesCheckChallengeRecommend"&amp;"ation2 &lt;&gt; """"), filter('Quotes-Check'!I566:J566, 'Quotes-Check'!I566:J566&lt;&gt;""glugluieie""),""""))"),"recommendation")</f>
        <v>recommendation</v>
      </c>
      <c r="F566" s="22" t="str">
        <f>IFERROR(__xludf.DUMMYFUNCTION("""COMPUTED_VALUE"""),"you need to have people interacting with the students that are practitioners and that really, uh, well know their in a way.")</f>
        <v>you need to have people interacting with the students that are practitioners and that really, uh, well know their in a way.</v>
      </c>
      <c r="G566" s="22" t="str">
        <f>if(QuotesCheckJudgeAbstract&lt;&gt;"",QuotesCheckJudgeAbstract,if(or(QuotesCheckJudge="",and(QuotesCheckJudge = "primeiro", QuotesCheckChallengeRecommendation1 &lt;&gt; "")), QuotesCheckAbstract1,if(and(QuotesCheckJudge = "segundo", QuotesCheckChallengeRecommendation2 &lt;&gt; ""), QuotesCheckAbstract2,"")))</f>
        <v>You need to have DevOps practitioners interacting with the students.</v>
      </c>
    </row>
    <row r="567">
      <c r="A567" s="22">
        <f>IFERROR(__xludf.DUMMYFUNCTION("if(or(QuotesCheckJudge="""",and(QuotesCheckJudge = ""primeiro"", QuotesCheckChallengeRecommendation1 &lt;&gt; """"),and(QuotesCheckJudge = ""segundo"", QuotesCheckChallengeRecommendation2 &lt;&gt; """")), filter('Quotes-Check'!A567:D567, 'Quotes-Check'!A567:D567&lt;&gt;""g"&amp;"lugluieie""),"""")"),14.0)</f>
        <v>14</v>
      </c>
      <c r="B567" s="22">
        <f>IFERROR(__xludf.DUMMYFUNCTION("""COMPUTED_VALUE"""),4.0)</f>
        <v>4</v>
      </c>
      <c r="C567" s="2" t="str">
        <f>IFERROR(__xludf.DUMMYFUNCTION("""COMPUTED_VALUE"""),"R1 / R3")</f>
        <v>R1 / R3</v>
      </c>
      <c r="D567" s="22" t="str">
        <f>IFERROR(__xludf.DUMMYFUNCTION("""COMPUTED_VALUE"""),"General Challenges and Recommendations")</f>
        <v>General Challenges and Recommendations</v>
      </c>
      <c r="E567" s="46" t="str">
        <f>IFERROR(__xludf.DUMMYFUNCTION("if(or(QuotesCheckJudge="""",and(QuotesCheckJudge = ""primeiro"", QuotesCheckChallengeRecommendation1 &lt;&gt; """")), filter('Quotes-Check'!E567:F567, 'Quotes-Check'!E567:F567&lt;&gt;""glugluieie""),if(and(QuotesCheckJudge = ""segundo"", QuotesCheckChallengeRecommend"&amp;"ation2 &lt;&gt; """"), filter('Quotes-Check'!I567:J567, 'Quotes-Check'!I567:J567&lt;&gt;""glugluieie""),""""))"),"challenge")</f>
        <v>challenge</v>
      </c>
      <c r="F567" s="22" t="str">
        <f>IFERROR(__xludf.DUMMYFUNCTION("""COMPUTED_VALUE""")," the fact that DevOps is not just purely technical, it would be related to the fact that it's really complicated teach on a given semester because you have, let's say 13 to 15 weeks, three hours a week, and then you have to go through you can't address li"&amp;"ke large, large project because it doesn't fit in the semester.")</f>
        <v> the fact that DevOps is not just purely technical, it would be related to the fact that it's really complicated teach on a given semester because you have, let's say 13 to 15 weeks, three hours a week, and then you have to go through you can't address like large, large project because it doesn't fit in the semester.</v>
      </c>
      <c r="G567" s="22" t="str">
        <f>if(QuotesCheckJudgeAbstract&lt;&gt;"",QuotesCheckJudgeAbstract,if(or(QuotesCheckJudge="",and(QuotesCheckJudge = "primeiro", QuotesCheckChallengeRecommendation1 &lt;&gt; "")), QuotesCheckAbstract1,if(and(QuotesCheckJudge = "segundo", QuotesCheckChallengeRecommendation2 &lt;&gt; ""), QuotesCheckAbstract2,"")))</f>
        <v>Students can't work on large projects in 13 to 15 weeks three hours a week course.</v>
      </c>
    </row>
    <row r="568">
      <c r="A568" s="22">
        <f>IFERROR(__xludf.DUMMYFUNCTION("if(or(QuotesCheckJudge="""",and(QuotesCheckJudge = ""primeiro"", QuotesCheckChallengeRecommendation1 &lt;&gt; """"),and(QuotesCheckJudge = ""segundo"", QuotesCheckChallengeRecommendation2 &lt;&gt; """")), filter('Quotes-Check'!A568:D568, 'Quotes-Check'!A568:D568&lt;&gt;""g"&amp;"lugluieie""),"""")"),14.0)</f>
        <v>14</v>
      </c>
      <c r="B568" s="22">
        <f>IFERROR(__xludf.DUMMYFUNCTION("""COMPUTED_VALUE"""),4.0)</f>
        <v>4</v>
      </c>
      <c r="C568" s="2" t="str">
        <f>IFERROR(__xludf.DUMMYFUNCTION("""COMPUTED_VALUE"""),"R1 / R3")</f>
        <v>R1 / R3</v>
      </c>
      <c r="D568" s="22" t="str">
        <f>IFERROR(__xludf.DUMMYFUNCTION("""COMPUTED_VALUE"""),"General Challenges and Recommendations")</f>
        <v>General Challenges and Recommendations</v>
      </c>
      <c r="E568" s="46" t="str">
        <f>IFERROR(__xludf.DUMMYFUNCTION("if(or(QuotesCheckJudge="""",and(QuotesCheckJudge = ""primeiro"", QuotesCheckChallengeRecommendation1 &lt;&gt; """")), filter('Quotes-Check'!E568:F568, 'Quotes-Check'!E568:F568&lt;&gt;""glugluieie""),if(and(QuotesCheckJudge = ""segundo"", QuotesCheckChallengeRecommend"&amp;"ation2 &lt;&gt; """"), filter('Quotes-Check'!I568:J568, 'Quotes-Check'!I568:J568&lt;&gt;""glugluieie""),""""))"),"challenge")</f>
        <v>challenge</v>
      </c>
      <c r="F568" s="22" t="str">
        <f>IFERROR(__xludf.DUMMYFUNCTION("""COMPUTED_VALUE"""),"how this practitioner really works, because if you're not doing this, then you will stay at a very technical level. Like you deploy a pipeline and you're doing DevOps, which is absolutely not the case. And that's absolutely not the, uh, understanding of w"&amp;"hat DevOps is.")</f>
        <v>how this practitioner really works, because if you're not doing this, then you will stay at a very technical level. Like you deploy a pipeline and you're doing DevOps, which is absolutely not the case. And that's absolutely not the, uh, understanding of what DevOps is.</v>
      </c>
      <c r="G568" s="22" t="str">
        <f>if(QuotesCheckJudgeAbstract&lt;&gt;"",QuotesCheckJudgeAbstract,if(or(QuotesCheckJudge="",and(QuotesCheckJudge = "primeiro", QuotesCheckChallengeRecommendation1 &lt;&gt; "")), QuotesCheckAbstract1,if(and(QuotesCheckJudge = "segundo", QuotesCheckChallengeRecommendation2 &lt;&gt; ""), QuotesCheckAbstract2,"")))</f>
        <v>It is difficult to students understand how the pipeline deployment works and not just running it.</v>
      </c>
    </row>
    <row r="569">
      <c r="A569" s="22">
        <f>IFERROR(__xludf.DUMMYFUNCTION("if(or(QuotesCheckJudge="""",and(QuotesCheckJudge = ""primeiro"", QuotesCheckChallengeRecommendation1 &lt;&gt; """"),and(QuotesCheckJudge = ""segundo"", QuotesCheckChallengeRecommendation2 &lt;&gt; """")), filter('Quotes-Check'!A569:D569, 'Quotes-Check'!A569:D569&lt;&gt;""g"&amp;"lugluieie""),"""")"),14.0)</f>
        <v>14</v>
      </c>
      <c r="B569" s="22">
        <f>IFERROR(__xludf.DUMMYFUNCTION("""COMPUTED_VALUE"""),5.0)</f>
        <v>5</v>
      </c>
      <c r="C569" s="2" t="str">
        <f>IFERROR(__xludf.DUMMYFUNCTION("""COMPUTED_VALUE"""),"R1 / R3")</f>
        <v>R1 / R3</v>
      </c>
      <c r="D569" s="22" t="str">
        <f>IFERROR(__xludf.DUMMYFUNCTION("""COMPUTED_VALUE"""),"General Challenges and Recommendations")</f>
        <v>General Challenges and Recommendations</v>
      </c>
      <c r="E569" s="46" t="str">
        <f>IFERROR(__xludf.DUMMYFUNCTION("if(or(QuotesCheckJudge="""",and(QuotesCheckJudge = ""primeiro"", QuotesCheckChallengeRecommendation1 &lt;&gt; """")), filter('Quotes-Check'!E569:F569, 'Quotes-Check'!E569:F569&lt;&gt;""glugluieie""),if(and(QuotesCheckJudge = ""segundo"", QuotesCheckChallengeRecommend"&amp;"ation2 &lt;&gt; """"), filter('Quotes-Check'!I569:J569, 'Quotes-Check'!I569:J569&lt;&gt;""glugluieie""),""""))"),"challenge")</f>
        <v>challenge</v>
      </c>
      <c r="F569" s="22" t="str">
        <f>IFERROR(__xludf.DUMMYFUNCTION("""COMPUTED_VALUE"""),"if you give artificial example or small toy example, then it's just going about configuring small things. So naturally naturally what DevOps is, uh, it's really complicated to make the students experience a cultural change and those kinds of things, becau"&amp;"se there's, well, there's no culture of, uh, industrial project in a school because it's academic project or it's teaching how to behave in a industrial proje")</f>
        <v>if you give artificial example or small toy example, then it's just going about configuring small things. So naturally naturally what DevOps is, uh, it's really complicated to make the students experience a cultural change and those kinds of things, because there's, well, there's no culture of, uh, industrial project in a school because it's academic project or it's teaching how to behave in a industrial proje</v>
      </c>
      <c r="G569" s="22" t="str">
        <f>if(QuotesCheckJudgeAbstract&lt;&gt;"",QuotesCheckJudgeAbstract,if(or(QuotesCheckJudge="",and(QuotesCheckJudge = "primeiro", QuotesCheckChallengeRecommendation1 &lt;&gt; "")), QuotesCheckAbstract1,if(and(QuotesCheckJudge = "segundo", QuotesCheckChallengeRecommendation2 &lt;&gt; ""), QuotesCheckAbstract2,"")))</f>
        <v>The students can have difficulty understanding the DevOps culture working on a small example.</v>
      </c>
    </row>
    <row r="570">
      <c r="A570" s="22">
        <f>IFERROR(__xludf.DUMMYFUNCTION("if(or(QuotesCheckJudge="""",and(QuotesCheckJudge = ""primeiro"", QuotesCheckChallengeRecommendation1 &lt;&gt; """"),and(QuotesCheckJudge = ""segundo"", QuotesCheckChallengeRecommendation2 &lt;&gt; """")), filter('Quotes-Check'!A570:D570, 'Quotes-Check'!A570:D570&lt;&gt;""g"&amp;"lugluieie""),"""")"),14.0)</f>
        <v>14</v>
      </c>
      <c r="B570" s="22">
        <f>IFERROR(__xludf.DUMMYFUNCTION("""COMPUTED_VALUE"""),5.0)</f>
        <v>5</v>
      </c>
      <c r="C570" s="2" t="str">
        <f>IFERROR(__xludf.DUMMYFUNCTION("""COMPUTED_VALUE"""),"R1 / R3")</f>
        <v>R1 / R3</v>
      </c>
      <c r="D570" s="22" t="str">
        <f>IFERROR(__xludf.DUMMYFUNCTION("""COMPUTED_VALUE"""),"General Challenges and Recommendations")</f>
        <v>General Challenges and Recommendations</v>
      </c>
      <c r="E570" s="46" t="str">
        <f>IFERROR(__xludf.DUMMYFUNCTION("if(or(QuotesCheckJudge="""",and(QuotesCheckJudge = ""primeiro"", QuotesCheckChallengeRecommendation1 &lt;&gt; """")), filter('Quotes-Check'!E570:F570, 'Quotes-Check'!E570:F570&lt;&gt;""glugluieie""),if(and(QuotesCheckJudge = ""segundo"", QuotesCheckChallengeRecommend"&amp;"ation2 &lt;&gt; """"), filter('Quotes-Check'!I570:J570, 'Quotes-Check'!I570:J570&lt;&gt;""glugluieie""),""""))"),"challenge")</f>
        <v>challenge</v>
      </c>
      <c r="F570" s="22" t="str">
        <f>IFERROR(__xludf.DUMMYFUNCTION("""COMPUTED_VALUE"""),"I mean, there are students, so they are, they are not in the industry yet. And so that's, that would be the main part to make the student understand that it's, it's not about configuring Jenkins or having Docker running on their computer.")</f>
        <v>I mean, there are students, so they are, they are not in the industry yet. And so that's, that would be the main part to make the student understand that it's, it's not about configuring Jenkins or having Docker running on their computer.</v>
      </c>
      <c r="G570" s="22" t="str">
        <f>if(QuotesCheckJudgeAbstract&lt;&gt;"",QuotesCheckJudgeAbstract,if(or(QuotesCheckJudge="",and(QuotesCheckJudge = "primeiro", QuotesCheckChallengeRecommendation1 &lt;&gt; "")), QuotesCheckAbstract1,if(and(QuotesCheckJudge = "segundo", QuotesCheckChallengeRecommendation2 &lt;&gt; ""), QuotesCheckAbstract2,"")))</f>
        <v>The students without industry experience can have difficulty to understand that DevOps is much more than using tools.</v>
      </c>
    </row>
    <row r="571">
      <c r="A571" s="22">
        <f>IFERROR(__xludf.DUMMYFUNCTION("if(or(QuotesCheckJudge="""",and(QuotesCheckJudge = ""primeiro"", QuotesCheckChallengeRecommendation1 &lt;&gt; """"),and(QuotesCheckJudge = ""segundo"", QuotesCheckChallengeRecommendation2 &lt;&gt; """")), filter('Quotes-Check'!A571:D571, 'Quotes-Check'!A571:D571&lt;&gt;""g"&amp;"lugluieie""),"""")"),14.0)</f>
        <v>14</v>
      </c>
      <c r="B571" s="22">
        <f>IFERROR(__xludf.DUMMYFUNCTION("""COMPUTED_VALUE"""),5.0)</f>
        <v>5</v>
      </c>
      <c r="C571" s="2" t="str">
        <f>IFERROR(__xludf.DUMMYFUNCTION("""COMPUTED_VALUE"""),"R1 / R3")</f>
        <v>R1 / R3</v>
      </c>
      <c r="D571" s="22" t="str">
        <f>IFERROR(__xludf.DUMMYFUNCTION("""COMPUTED_VALUE"""),"General Challenges and Recommendations")</f>
        <v>General Challenges and Recommendations</v>
      </c>
      <c r="E571" s="46" t="str">
        <f>IFERROR(__xludf.DUMMYFUNCTION("if(or(QuotesCheckJudge="""",and(QuotesCheckJudge = ""primeiro"", QuotesCheckChallengeRecommendation1 &lt;&gt; """")), filter('Quotes-Check'!E571:F571, 'Quotes-Check'!E571:F571&lt;&gt;""glugluieie""),if(and(QuotesCheckJudge = ""segundo"", QuotesCheckChallengeRecommend"&amp;"ation2 &lt;&gt; """"), filter('Quotes-Check'!I571:J571, 'Quotes-Check'!I571:J571&lt;&gt;""glugluieie""),""""))"),"challenge")</f>
        <v>challenge</v>
      </c>
      <c r="F571" s="22" t="str">
        <f>IFERROR(__xludf.DUMMYFUNCTION("""COMPUTED_VALUE"""),"there's a gap between what we can experiment during the course, what can be presented during the invited lecture from the industry, for example, those kinds of things and how, how whole, the things are connected together. ")</f>
        <v>there's a gap between what we can experiment during the course, what can be presented during the invited lecture from the industry, for example, those kinds of things and how, how whole, the things are connected together. </v>
      </c>
      <c r="G571" s="22" t="str">
        <f>if(QuotesCheckJudgeAbstract&lt;&gt;"",QuotesCheckJudgeAbstract,if(or(QuotesCheckJudge="",and(QuotesCheckJudge = "primeiro", QuotesCheckChallengeRecommendation1 &lt;&gt; "")), QuotesCheckAbstract1,if(and(QuotesCheckJudge = "segundo", QuotesCheckChallengeRecommendation2 &lt;&gt; ""), QuotesCheckAbstract2,"")))</f>
        <v>There is a gap about how to connect the lectures with the labs.</v>
      </c>
    </row>
    <row r="572">
      <c r="A572" s="22">
        <f>IFERROR(__xludf.DUMMYFUNCTION("if(or(QuotesCheckJudge="""",and(QuotesCheckJudge = ""primeiro"", QuotesCheckChallengeRecommendation1 &lt;&gt; """"),and(QuotesCheckJudge = ""segundo"", QuotesCheckChallengeRecommendation2 &lt;&gt; """")), filter('Quotes-Check'!A572:D572, 'Quotes-Check'!A572:D572&lt;&gt;""g"&amp;"lugluieie""),"""")"),14.0)</f>
        <v>14</v>
      </c>
      <c r="B572" s="22">
        <f>IFERROR(__xludf.DUMMYFUNCTION("""COMPUTED_VALUE"""),7.0)</f>
        <v>7</v>
      </c>
      <c r="C572" s="2" t="str">
        <f>IFERROR(__xludf.DUMMYFUNCTION("""COMPUTED_VALUE"""),"R2 / R3")</f>
        <v>R2 / R3</v>
      </c>
      <c r="D572" s="22" t="str">
        <f>IFERROR(__xludf.DUMMYFUNCTION("""COMPUTED_VALUE"""),"General Challenges and Recommendations")</f>
        <v>General Challenges and Recommendations</v>
      </c>
      <c r="E572" s="46" t="str">
        <f>IFERROR(__xludf.DUMMYFUNCTION("if(or(QuotesCheckJudge="""",and(QuotesCheckJudge = ""primeiro"", QuotesCheckChallengeRecommendation1 &lt;&gt; """")), filter('Quotes-Check'!E572:F572, 'Quotes-Check'!E572:F572&lt;&gt;""glugluieie""),if(and(QuotesCheckJudge = ""segundo"", QuotesCheckChallengeRecommend"&amp;"ation2 &lt;&gt; """"), filter('Quotes-Check'!I572:J572, 'Quotes-Check'!I572:J572&lt;&gt;""glugluieie""),""""))"),"recommendation")</f>
        <v>recommendation</v>
      </c>
      <c r="F572" s="22" t="str">
        <f>IFERROR(__xludf.DUMMYFUNCTION("""COMPUTED_VALUE"""),"So we thought we were doing right, but after having discussed with industrial partners and practitioners, like not just discussed, you know, conference or attending a meetup, like really discussing for hours. ")</f>
        <v>So we thought we were doing right, but after having discussed with industrial partners and practitioners, like not just discussed, you know, conference or attending a meetup, like really discussing for hours. </v>
      </c>
      <c r="G572" s="22" t="str">
        <f>if(QuotesCheckJudgeAbstract&lt;&gt;"",QuotesCheckJudgeAbstract,if(or(QuotesCheckJudge="",and(QuotesCheckJudge = "primeiro", QuotesCheckChallengeRecommendation1 &lt;&gt; "")), QuotesCheckAbstract1,if(and(QuotesCheckJudge = "segundo", QuotesCheckChallengeRecommendation2 &lt;&gt; ""), QuotesCheckAbstract2,"")))</f>
        <v>Discuss the course with industrial partners and practitioners.</v>
      </c>
    </row>
    <row r="573">
      <c r="A573" s="22">
        <f>IFERROR(__xludf.DUMMYFUNCTION("if(or(QuotesCheckJudge="""",and(QuotesCheckJudge = ""primeiro"", QuotesCheckChallengeRecommendation1 &lt;&gt; """"),and(QuotesCheckJudge = ""segundo"", QuotesCheckChallengeRecommendation2 &lt;&gt; """")), filter('Quotes-Check'!A573:D573, 'Quotes-Check'!A573:D573&lt;&gt;""g"&amp;"lugluieie""),"""")"),14.0)</f>
        <v>14</v>
      </c>
      <c r="B573" s="22">
        <f>IFERROR(__xludf.DUMMYFUNCTION("""COMPUTED_VALUE"""),8.0)</f>
        <v>8</v>
      </c>
      <c r="C573" s="2" t="str">
        <f>IFERROR(__xludf.DUMMYFUNCTION("""COMPUTED_VALUE"""),"R1 / R3")</f>
        <v>R1 / R3</v>
      </c>
      <c r="D573" s="22" t="str">
        <f>IFERROR(__xludf.DUMMYFUNCTION("""COMPUTED_VALUE"""),"General Challenges and Recommendations")</f>
        <v>General Challenges and Recommendations</v>
      </c>
      <c r="E573" s="46" t="str">
        <f>IFERROR(__xludf.DUMMYFUNCTION("if(or(QuotesCheckJudge="""",and(QuotesCheckJudge = ""primeiro"", QuotesCheckChallengeRecommendation1 &lt;&gt; """")), filter('Quotes-Check'!E573:F573, 'Quotes-Check'!E573:F573&lt;&gt;""glugluieie""),if(and(QuotesCheckJudge = ""segundo"", QuotesCheckChallengeRecommend"&amp;"ation2 &lt;&gt; """"), filter('Quotes-Check'!I573:J573, 'Quotes-Check'!I573:J573&lt;&gt;""glugluieie""),""""))"),"recommendation")</f>
        <v>recommendation</v>
      </c>
      <c r="F573" s="22" t="str">
        <f>IFERROR(__xludf.DUMMYFUNCTION("""COMPUTED_VALUE"""),"So it's constantly discussing and constantly sharing in an open way, uh, what's happening, how it's teach, uh, how it's story telling and how, how things are going. ")</f>
        <v>So it's constantly discussing and constantly sharing in an open way, uh, what's happening, how it's teach, uh, how it's story telling and how, how things are going. </v>
      </c>
      <c r="G573" s="22" t="str">
        <f>if(QuotesCheckJudgeAbstract&lt;&gt;"",QuotesCheckJudgeAbstract,if(or(QuotesCheckJudge="",and(QuotesCheckJudge = "primeiro", QuotesCheckChallengeRecommendation1 &lt;&gt; "")), QuotesCheckAbstract1,if(and(QuotesCheckJudge = "segundo", QuotesCheckChallengeRecommendation2 &lt;&gt; ""), QuotesCheckAbstract2,"")))</f>
        <v>Constantly discuss and share the DevOps teaching in an open way.</v>
      </c>
    </row>
    <row r="574">
      <c r="A574" s="22">
        <f>IFERROR(__xludf.DUMMYFUNCTION("if(or(QuotesCheckJudge="""",and(QuotesCheckJudge = ""primeiro"", QuotesCheckChallengeRecommendation1 &lt;&gt; """"),and(QuotesCheckJudge = ""segundo"", QuotesCheckChallengeRecommendation2 &lt;&gt; """")), filter('Quotes-Check'!A574:D574, 'Quotes-Check'!A574:D574&lt;&gt;""g"&amp;"lugluieie""),"""")"),14.0)</f>
        <v>14</v>
      </c>
      <c r="B574" s="22">
        <f>IFERROR(__xludf.DUMMYFUNCTION("""COMPUTED_VALUE"""),8.0)</f>
        <v>8</v>
      </c>
      <c r="C574" s="2" t="str">
        <f>IFERROR(__xludf.DUMMYFUNCTION("""COMPUTED_VALUE"""),"R1 / R3")</f>
        <v>R1 / R3</v>
      </c>
      <c r="D574" s="22" t="str">
        <f>IFERROR(__xludf.DUMMYFUNCTION("""COMPUTED_VALUE"""),"General Challenges and Recommendations")</f>
        <v>General Challenges and Recommendations</v>
      </c>
      <c r="E574" s="46" t="str">
        <f>IFERROR(__xludf.DUMMYFUNCTION("if(or(QuotesCheckJudge="""",and(QuotesCheckJudge = ""primeiro"", QuotesCheckChallengeRecommendation1 &lt;&gt; """")), filter('Quotes-Check'!E574:F574, 'Quotes-Check'!E574:F574&lt;&gt;""glugluieie""),if(and(QuotesCheckJudge = ""segundo"", QuotesCheckChallengeRecommend"&amp;"ation2 &lt;&gt; """"), filter('Quotes-Check'!I574:J574, 'Quotes-Check'!I574:J574&lt;&gt;""glugluieie""),""""))"),"recommendation")</f>
        <v>recommendation</v>
      </c>
      <c r="F574" s="22" t="str">
        <f>IFERROR(__xludf.DUMMYFUNCTION("""COMPUTED_VALUE"""),"So this guy was really half time IBM and half time in the faculty of engineering. ")</f>
        <v>So this guy was really half time IBM and half time in the faculty of engineering. </v>
      </c>
      <c r="G574" s="22" t="str">
        <f>if(QuotesCheckJudgeAbstract&lt;&gt;"",QuotesCheckJudgeAbstract,if(or(QuotesCheckJudge="",and(QuotesCheckJudge = "primeiro", QuotesCheckChallengeRecommendation1 &lt;&gt; "")), QuotesCheckAbstract1,if(and(QuotesCheckJudge = "segundo", QuotesCheckChallengeRecommendation2 &lt;&gt; ""), QuotesCheckAbstract2,"")))</f>
        <v>Teachers could be half time industrial and half time faculty.</v>
      </c>
    </row>
    <row r="575">
      <c r="A575" s="22">
        <f>IFERROR(__xludf.DUMMYFUNCTION("if(or(QuotesCheckJudge="""",and(QuotesCheckJudge = ""primeiro"", QuotesCheckChallengeRecommendation1 &lt;&gt; """"),and(QuotesCheckJudge = ""segundo"", QuotesCheckChallengeRecommendation2 &lt;&gt; """")), filter('Quotes-Check'!A575:D575, 'Quotes-Check'!A575:D575&lt;&gt;""g"&amp;"lugluieie""),"""")"),14.0)</f>
        <v>14</v>
      </c>
      <c r="B575" s="22">
        <f>IFERROR(__xludf.DUMMYFUNCTION("""COMPUTED_VALUE"""),8.0)</f>
        <v>8</v>
      </c>
      <c r="C575" s="2" t="str">
        <f>IFERROR(__xludf.DUMMYFUNCTION("""COMPUTED_VALUE"""),"R1 / R3")</f>
        <v>R1 / R3</v>
      </c>
      <c r="D575" s="22" t="str">
        <f>IFERROR(__xludf.DUMMYFUNCTION("""COMPUTED_VALUE"""),"General Challenges and Recommendations")</f>
        <v>General Challenges and Recommendations</v>
      </c>
      <c r="E575" s="46" t="str">
        <f>IFERROR(__xludf.DUMMYFUNCTION("if(or(QuotesCheckJudge="""",and(QuotesCheckJudge = ""primeiro"", QuotesCheckChallengeRecommendation1 &lt;&gt; """")), filter('Quotes-Check'!E575:F575, 'Quotes-Check'!E575:F575&lt;&gt;""glugluieie""),if(and(QuotesCheckJudge = ""segundo"", QuotesCheckChallengeRecommend"&amp;"ation2 &lt;&gt; """"), filter('Quotes-Check'!I575:J575, 'Quotes-Check'!I575:J575&lt;&gt;""glugluieie""),""""))"),"challenge")</f>
        <v>challenge</v>
      </c>
      <c r="F575" s="22" t="str">
        <f>IFERROR(__xludf.DUMMYFUNCTION("""COMPUTED_VALUE""")," I mean devops is always evolving and we are not what we consider DevOps here is different for, from what was considered DevOps, let's say five years ago. ")</f>
        <v> I mean devops is always evolving and we are not what we consider DevOps here is different for, from what was considered DevOps, let's say five years ago. </v>
      </c>
      <c r="G575" s="22" t="str">
        <f>if(QuotesCheckJudgeAbstract&lt;&gt;"",QuotesCheckJudgeAbstract,if(or(QuotesCheckJudge="",and(QuotesCheckJudge = "primeiro", QuotesCheckChallengeRecommendation1 &lt;&gt; "")), QuotesCheckAbstract1,if(and(QuotesCheckJudge = "segundo", QuotesCheckChallengeRecommendation2 &lt;&gt; ""), QuotesCheckAbstract2,"")))</f>
        <v>DevOps is always evolving fast in the last five years.</v>
      </c>
    </row>
    <row r="576">
      <c r="A576" s="22">
        <f>IFERROR(__xludf.DUMMYFUNCTION("if(or(QuotesCheckJudge="""",and(QuotesCheckJudge = ""primeiro"", QuotesCheckChallengeRecommendation1 &lt;&gt; """"),and(QuotesCheckJudge = ""segundo"", QuotesCheckChallengeRecommendation2 &lt;&gt; """")), filter('Quotes-Check'!A576:D576, 'Quotes-Check'!A576:D576&lt;&gt;""g"&amp;"lugluieie""),"""")"),14.0)</f>
        <v>14</v>
      </c>
      <c r="B576" s="22">
        <f>IFERROR(__xludf.DUMMYFUNCTION("""COMPUTED_VALUE"""),9.0)</f>
        <v>9</v>
      </c>
      <c r="C576" s="2" t="str">
        <f>IFERROR(__xludf.DUMMYFUNCTION("""COMPUTED_VALUE"""),"R1 / R3")</f>
        <v>R1 / R3</v>
      </c>
      <c r="D576" s="22" t="str">
        <f>IFERROR(__xludf.DUMMYFUNCTION("""COMPUTED_VALUE"""),"Environment Setup")</f>
        <v>Environment Setup</v>
      </c>
      <c r="E576" s="46" t="str">
        <f>IFERROR(__xludf.DUMMYFUNCTION("if(or(QuotesCheckJudge="""",and(QuotesCheckJudge = ""primeiro"", QuotesCheckChallengeRecommendation1 &lt;&gt; """")), filter('Quotes-Check'!E576:F576, 'Quotes-Check'!E576:F576&lt;&gt;""glugluieie""),if(and(QuotesCheckJudge = ""segundo"", QuotesCheckChallengeRecommend"&amp;"ation2 &lt;&gt; """"), filter('Quotes-Check'!I576:J576, 'Quotes-Check'!I576:J576&lt;&gt;""glugluieie""),""""))"),"challenge")</f>
        <v>challenge</v>
      </c>
      <c r="F576" s="22" t="str">
        <f>IFERROR(__xludf.DUMMYFUNCTION("""COMPUTED_VALUE"""),"that's really complicated as, um, like as a teacher, uh, then we decided to move for on premises, uh, version with our own, uh, systems for deployment building and everything, uh, another disaster, because then it requires a lot of maintenance and a lot o"&amp;"f them, of course, or the students are going to work like in the two days before the room, the, um, the delivery of the project.
")</f>
        <v>that's really complicated as, um, like as a teacher, uh, then we decided to move for on premises, uh, version with our own, uh, systems for deployment building and everything, uh, another disaster, because then it requires a lot of maintenance and a lot of them, of course, or the students are going to work like in the two days before the room, the, um, the delivery of the project.
</v>
      </c>
      <c r="G576" s="22" t="str">
        <f>if(QuotesCheckJudgeAbstract&lt;&gt;"",QuotesCheckJudgeAbstract,if(or(QuotesCheckJudge="",and(QuotesCheckJudge = "primeiro", QuotesCheckChallengeRecommendation1 &lt;&gt; "")), QuotesCheckAbstract1,if(and(QuotesCheckJudge = "segundo", QuotesCheckChallengeRecommendation2 &lt;&gt; ""), QuotesCheckAbstract2,"")))</f>
        <v>On premises systems for deployment everything is complicated because it requires a lot of maintenance and time.</v>
      </c>
    </row>
    <row r="577">
      <c r="A577" s="22">
        <f>IFERROR(__xludf.DUMMYFUNCTION("if(or(QuotesCheckJudge="""",and(QuotesCheckJudge = ""primeiro"", QuotesCheckChallengeRecommendation1 &lt;&gt; """"),and(QuotesCheckJudge = ""segundo"", QuotesCheckChallengeRecommendation2 &lt;&gt; """")), filter('Quotes-Check'!A577:D577, 'Quotes-Check'!A577:D577&lt;&gt;""g"&amp;"lugluieie""),"""")"),14.0)</f>
        <v>14</v>
      </c>
      <c r="B577" s="22">
        <f>IFERROR(__xludf.DUMMYFUNCTION("""COMPUTED_VALUE"""),9.0)</f>
        <v>9</v>
      </c>
      <c r="C577" s="2" t="str">
        <f>IFERROR(__xludf.DUMMYFUNCTION("""COMPUTED_VALUE"""),"R1 / R3")</f>
        <v>R1 / R3</v>
      </c>
      <c r="D577" s="22" t="str">
        <f>IFERROR(__xludf.DUMMYFUNCTION("""COMPUTED_VALUE"""),"Environment Setup")</f>
        <v>Environment Setup</v>
      </c>
      <c r="E577" s="46" t="str">
        <f>IFERROR(__xludf.DUMMYFUNCTION("if(or(QuotesCheckJudge="""",and(QuotesCheckJudge = ""primeiro"", QuotesCheckChallengeRecommendation1 &lt;&gt; """")), filter('Quotes-Check'!E577:F577, 'Quotes-Check'!E577:F577&lt;&gt;""glugluieie""),if(and(QuotesCheckJudge = ""segundo"", QuotesCheckChallengeRecommend"&amp;"ation2 &lt;&gt; """"), filter('Quotes-Check'!I577:J577, 'Quotes-Check'!I577:J577&lt;&gt;""glugluieie""),""""))"),"challenge")</f>
        <v>challenge</v>
      </c>
      <c r="F577" s="22" t="str">
        <f>IFERROR(__xludf.DUMMYFUNCTION("""COMPUTED_VALUE"""),"We try to use, um, like remote services to relieve the burden of setup saying that, okay, you're going to use Jenkins on the cloud. Then you're going to use, we have this partnership with IBM. So we're using to use the blue-J platform from, uh, IBM that w"&amp;"as supporting this kind of thing, um, disaster, because in the end it was really complicated to debug what was happening because you don't have the access go on the what's happening.")</f>
        <v>We try to use, um, like remote services to relieve the burden of setup saying that, okay, you're going to use Jenkins on the cloud. Then you're going to use, we have this partnership with IBM. So we're using to use the blue-J platform from, uh, IBM that was supporting this kind of thing, um, disaster, because in the end it was really complicated to debug what was happening because you don't have the access go on the what's happening.</v>
      </c>
      <c r="G577" s="22" t="str">
        <f>if(QuotesCheckJudgeAbstract&lt;&gt;"",QuotesCheckJudgeAbstract,if(or(QuotesCheckJudge="",and(QuotesCheckJudge = "primeiro", QuotesCheckChallengeRecommendation1 &lt;&gt; "")), QuotesCheckAbstract1,if(and(QuotesCheckJudge = "segundo", QuotesCheckChallengeRecommendation2 &lt;&gt; ""), QuotesCheckAbstract2,"")))</f>
        <v>Using remote services is really complicated to debug what is happening because you don't have the access on the what's happening.</v>
      </c>
    </row>
    <row r="578">
      <c r="A578" s="22">
        <f>IFERROR(__xludf.DUMMYFUNCTION("if(or(QuotesCheckJudge="""",and(QuotesCheckJudge = ""primeiro"", QuotesCheckChallengeRecommendation1 &lt;&gt; """"),and(QuotesCheckJudge = ""segundo"", QuotesCheckChallengeRecommendation2 &lt;&gt; """")), filter('Quotes-Check'!A578:D578, 'Quotes-Check'!A578:D578&lt;&gt;""g"&amp;"lugluieie""),"""")"),14.0)</f>
        <v>14</v>
      </c>
      <c r="B578" s="22">
        <f>IFERROR(__xludf.DUMMYFUNCTION("""COMPUTED_VALUE"""),10.0)</f>
        <v>10</v>
      </c>
      <c r="C578" s="2" t="str">
        <f>IFERROR(__xludf.DUMMYFUNCTION("""COMPUTED_VALUE"""),"R1 / R3")</f>
        <v>R1 / R3</v>
      </c>
      <c r="D578" s="22" t="str">
        <f>IFERROR(__xludf.DUMMYFUNCTION("""COMPUTED_VALUE"""),"Environment Setup")</f>
        <v>Environment Setup</v>
      </c>
      <c r="E578" s="46" t="str">
        <f>IFERROR(__xludf.DUMMYFUNCTION("if(or(QuotesCheckJudge="""",and(QuotesCheckJudge = ""primeiro"", QuotesCheckChallengeRecommendation1 &lt;&gt; """")), filter('Quotes-Check'!E578:F578, 'Quotes-Check'!E578:F578&lt;&gt;""glugluieie""),if(and(QuotesCheckJudge = ""segundo"", QuotesCheckChallengeRecommend"&amp;"ation2 &lt;&gt; """"), filter('Quotes-Check'!I578:J578, 'Quotes-Check'!I578:J578&lt;&gt;""glugluieie""),""""))"),"challenge")</f>
        <v>challenge</v>
      </c>
      <c r="F578" s="22" t="str">
        <f>IFERROR(__xludf.DUMMYFUNCTION("""COMPUTED_VALUE""")," we've tried to let the students, uh, deal with the setup and, uh, install everything on their computer with Dockerizing stuff and scan things. And that was yet another disaster because then it's not reproducible and it works on their computer, but then i"&amp;"t's really complicated to make it work on the TA.
")</f>
        <v> we've tried to let the students, uh, deal with the setup and, uh, install everything on their computer with Dockerizing stuff and scan things. And that was yet another disaster because then it's not reproducible and it works on their computer, but then it's really complicated to make it work on the TA.
</v>
      </c>
      <c r="G578" s="22" t="str">
        <f>if(QuotesCheckJudgeAbstract&lt;&gt;"",QuotesCheckJudgeAbstract,if(or(QuotesCheckJudge="",and(QuotesCheckJudge = "primeiro", QuotesCheckChallengeRecommendation1 &lt;&gt; "")), QuotesCheckAbstract1,if(and(QuotesCheckJudge = "segundo", QuotesCheckChallengeRecommendation2 &lt;&gt; ""), QuotesCheckAbstract2,"")))</f>
        <v>Let the students deal with the environment setup on their computers is not reproducible and is complicated to make it work even with the teacher assistant.</v>
      </c>
    </row>
    <row r="579">
      <c r="A579" s="22">
        <f>IFERROR(__xludf.DUMMYFUNCTION("if(or(QuotesCheckJudge="""",and(QuotesCheckJudge = ""primeiro"", QuotesCheckChallengeRecommendation1 &lt;&gt; """"),and(QuotesCheckJudge = ""segundo"", QuotesCheckChallengeRecommendation2 &lt;&gt; """")), filter('Quotes-Check'!A579:D579, 'Quotes-Check'!A579:D579&lt;&gt;""g"&amp;"lugluieie""),"""")"),14.0)</f>
        <v>14</v>
      </c>
      <c r="B579" s="22">
        <f>IFERROR(__xludf.DUMMYFUNCTION("""COMPUTED_VALUE"""),10.0)</f>
        <v>10</v>
      </c>
      <c r="C579" s="2" t="str">
        <f>IFERROR(__xludf.DUMMYFUNCTION("""COMPUTED_VALUE"""),"R1 / R3")</f>
        <v>R1 / R3</v>
      </c>
      <c r="D579" s="22" t="str">
        <f>IFERROR(__xludf.DUMMYFUNCTION("""COMPUTED_VALUE"""),"Environment Setup")</f>
        <v>Environment Setup</v>
      </c>
      <c r="E579" s="46" t="str">
        <f>IFERROR(__xludf.DUMMYFUNCTION("if(or(QuotesCheckJudge="""",and(QuotesCheckJudge = ""primeiro"", QuotesCheckChallengeRecommendation1 &lt;&gt; """")), filter('Quotes-Check'!E579:F579, 'Quotes-Check'!E579:F579&lt;&gt;""glugluieie""),if(and(QuotesCheckJudge = ""segundo"", QuotesCheckChallengeRecommend"&amp;"ation2 &lt;&gt; """"), filter('Quotes-Check'!I579:J579, 'Quotes-Check'!I579:J579&lt;&gt;""glugluieie""),""""))"),"challenge")</f>
        <v>challenge</v>
      </c>
      <c r="F579" s="22" t="str">
        <f>IFERROR(__xludf.DUMMYFUNCTION("""COMPUTED_VALUE"""),"your Bamboo continuous to, uh, integration will just collapse because there's way too much students. My cohorts were 120 students a year. So when you have 120 students who all try to start their pipeline at the very same time, uh, in the last two days, an"&amp;"d it's just a catastrophe and I mean, this thing will always happen.")</f>
        <v>your Bamboo continuous to, uh, integration will just collapse because there's way too much students. My cohorts were 120 students a year. So when you have 120 students who all try to start their pipeline at the very same time, uh, in the last two days, and it's just a catastrophe and I mean, this thing will always happen.</v>
      </c>
      <c r="G579" s="22" t="str">
        <f>if(QuotesCheckJudgeAbstract&lt;&gt;"",QuotesCheckJudgeAbstract,if(or(QuotesCheckJudge="",and(QuotesCheckJudge = "primeiro", QuotesCheckChallengeRecommendation1 &lt;&gt; "")), QuotesCheckAbstract1,if(and(QuotesCheckJudge = "segundo", QuotesCheckChallengeRecommendation2 &lt;&gt; ""), QuotesCheckAbstract2,"")))</f>
        <v>Bamboo continuous integration does not work with 120 students running pipeline at the same time.</v>
      </c>
    </row>
    <row r="580">
      <c r="A580" s="22">
        <f>IFERROR(__xludf.DUMMYFUNCTION("if(or(QuotesCheckJudge="""",and(QuotesCheckJudge = ""primeiro"", QuotesCheckChallengeRecommendation1 &lt;&gt; """"),and(QuotesCheckJudge = ""segundo"", QuotesCheckChallengeRecommendation2 &lt;&gt; """")), filter('Quotes-Check'!A580:D580, 'Quotes-Check'!A580:D580&lt;&gt;""g"&amp;"lugluieie""),"""")"),14.0)</f>
        <v>14</v>
      </c>
      <c r="B580" s="22">
        <f>IFERROR(__xludf.DUMMYFUNCTION("""COMPUTED_VALUE"""),11.0)</f>
        <v>11</v>
      </c>
      <c r="C580" s="2" t="str">
        <f>IFERROR(__xludf.DUMMYFUNCTION("""COMPUTED_VALUE"""),"R1 / R2")</f>
        <v>R1 / R2</v>
      </c>
      <c r="D580" s="22" t="str">
        <f>IFERROR(__xludf.DUMMYFUNCTION("""COMPUTED_VALUE"""),"Environment Setup")</f>
        <v>Environment Setup</v>
      </c>
      <c r="E580" s="46" t="str">
        <f>IFERROR(__xludf.DUMMYFUNCTION("if(or(QuotesCheckJudge="""",and(QuotesCheckJudge = ""primeiro"", QuotesCheckChallengeRecommendation1 &lt;&gt; """")), filter('Quotes-Check'!E580:F580, 'Quotes-Check'!E580:F580&lt;&gt;""glugluieie""),if(and(QuotesCheckJudge = ""segundo"", QuotesCheckChallengeRecommend"&amp;"ation2 &lt;&gt; """"), filter('Quotes-Check'!I580:J580, 'Quotes-Check'!I580:J580&lt;&gt;""glugluieie""),""""))"),"recommendation")</f>
        <v>recommendation</v>
      </c>
      <c r="F580" s="22" t="str">
        <f>IFERROR(__xludf.DUMMYFUNCTION("""COMPUTED_VALUE""")," we decided to let the student choose and said, okay, you have your option and do what you want, but you're responsible of doing it.")</f>
        <v> we decided to let the student choose and said, okay, you have your option and do what you want, but you're responsible of doing it.</v>
      </c>
      <c r="G580" s="22" t="str">
        <f>if(QuotesCheckJudgeAbstract&lt;&gt;"",QuotesCheckJudgeAbstract,if(or(QuotesCheckJudge="",and(QuotesCheckJudge = "primeiro", QuotesCheckChallengeRecommendation1 &lt;&gt; "")), QuotesCheckAbstract1,if(and(QuotesCheckJudge = "segundo", QuotesCheckChallengeRecommendation2 &lt;&gt; ""), QuotesCheckAbstract2,"")))</f>
        <v>Give the responsibility to the student to chose the system and also the responsibility of what they are doing</v>
      </c>
    </row>
    <row r="581">
      <c r="A581" s="22">
        <f>IFERROR(__xludf.DUMMYFUNCTION("if(or(QuotesCheckJudge="""",and(QuotesCheckJudge = ""primeiro"", QuotesCheckChallengeRecommendation1 &lt;&gt; """"),and(QuotesCheckJudge = ""segundo"", QuotesCheckChallengeRecommendation2 &lt;&gt; """")), filter('Quotes-Check'!A581:D581, 'Quotes-Check'!A581:D581&lt;&gt;""g"&amp;"lugluieie""),"""")"),14.0)</f>
        <v>14</v>
      </c>
      <c r="B581" s="22">
        <f>IFERROR(__xludf.DUMMYFUNCTION("""COMPUTED_VALUE"""),11.0)</f>
        <v>11</v>
      </c>
      <c r="C581" s="2" t="str">
        <f>IFERROR(__xludf.DUMMYFUNCTION("""COMPUTED_VALUE"""),"R1 / R2")</f>
        <v>R1 / R2</v>
      </c>
      <c r="D581" s="22" t="str">
        <f>IFERROR(__xludf.DUMMYFUNCTION("""COMPUTED_VALUE"""),"Environment Setup")</f>
        <v>Environment Setup</v>
      </c>
      <c r="E581" s="46" t="str">
        <f>IFERROR(__xludf.DUMMYFUNCTION("if(or(QuotesCheckJudge="""",and(QuotesCheckJudge = ""primeiro"", QuotesCheckChallengeRecommendation1 &lt;&gt; """")), filter('Quotes-Check'!E581:F581, 'Quotes-Check'!E581:F581&lt;&gt;""glugluieie""),if(and(QuotesCheckJudge = ""segundo"", QuotesCheckChallengeRecommend"&amp;"ation2 &lt;&gt; """"), filter('Quotes-Check'!I581:J581, 'Quotes-Check'!I581:J581&lt;&gt;""glugluieie""),""""))"),"recommendation")</f>
        <v>recommendation</v>
      </c>
      <c r="F581" s="22" t="str">
        <f>IFERROR(__xludf.DUMMYFUNCTION("""COMPUTED_VALUE"""),"I think maybe the, um, the using external cloud services would give you the better in terms of DevOps philosophy, let's say, because then you're really pushing and you bring stuff outside of the academy ecosystem")</f>
        <v>I think maybe the, um, the using external cloud services would give you the better in terms of DevOps philosophy, let's say, because then you're really pushing and you bring stuff outside of the academy ecosystem</v>
      </c>
      <c r="G581" s="22" t="str">
        <f>if(QuotesCheckJudgeAbstract&lt;&gt;"",QuotesCheckJudgeAbstract,if(or(QuotesCheckJudge="",and(QuotesCheckJudge = "primeiro", QuotesCheckChallengeRecommendation1 &lt;&gt; "")), QuotesCheckAbstract1,if(and(QuotesCheckJudge = "segundo", QuotesCheckChallengeRecommendation2 &lt;&gt; ""), QuotesCheckAbstract2,"")))</f>
        <v>Using external cloud services would give you the better in terms of DevOps philosophy, because then you're really pushing and you bring stuff outside of the academy ecosystem.</v>
      </c>
    </row>
    <row r="582">
      <c r="A582" s="22">
        <f>IFERROR(__xludf.DUMMYFUNCTION("if(or(QuotesCheckJudge="""",and(QuotesCheckJudge = ""primeiro"", QuotesCheckChallengeRecommendation1 &lt;&gt; """"),and(QuotesCheckJudge = ""segundo"", QuotesCheckChallengeRecommendation2 &lt;&gt; """")), filter('Quotes-Check'!A582:D582, 'Quotes-Check'!A582:D582&lt;&gt;""g"&amp;"lugluieie""),"""")"),14.0)</f>
        <v>14</v>
      </c>
      <c r="B582" s="22">
        <f>IFERROR(__xludf.DUMMYFUNCTION("""COMPUTED_VALUE"""),12.0)</f>
        <v>12</v>
      </c>
      <c r="C582" s="2" t="str">
        <f>IFERROR(__xludf.DUMMYFUNCTION("""COMPUTED_VALUE"""),"R2 / R3")</f>
        <v>R2 / R3</v>
      </c>
      <c r="D582" s="22" t="str">
        <f>IFERROR(__xludf.DUMMYFUNCTION("""COMPUTED_VALUE"""),"Tool / Technology")</f>
        <v>Tool / Technology</v>
      </c>
      <c r="E582" s="46" t="str">
        <f>IFERROR(__xludf.DUMMYFUNCTION("if(or(QuotesCheckJudge="""",and(QuotesCheckJudge = ""primeiro"", QuotesCheckChallengeRecommendation1 &lt;&gt; """")), filter('Quotes-Check'!E582:F582, 'Quotes-Check'!E582:F582&lt;&gt;""glugluieie""),if(and(QuotesCheckJudge = ""segundo"", QuotesCheckChallengeRecommend"&amp;"ation2 &lt;&gt; """"), filter('Quotes-Check'!I582:J582, 'Quotes-Check'!I582:J582&lt;&gt;""glugluieie""),""""))"),"recommendation")</f>
        <v>recommendation</v>
      </c>
      <c r="F582" s="22" t="str">
        <f>IFERROR(__xludf.DUMMYFUNCTION("""COMPUTED_VALUE"""),"we use the blueJ, uh, platform from, uh, IBM, that was really, everything was integrated and those kinds of things that was really good in a way,")</f>
        <v>we use the blueJ, uh, platform from, uh, IBM, that was really, everything was integrated and those kinds of things that was really good in a way,</v>
      </c>
      <c r="G582" s="22" t="str">
        <f>if(QuotesCheckJudgeAbstract&lt;&gt;"",QuotesCheckJudgeAbstract,if(or(QuotesCheckJudge="",and(QuotesCheckJudge = "primeiro", QuotesCheckChallengeRecommendation1 &lt;&gt; "")), QuotesCheckAbstract1,if(and(QuotesCheckJudge = "segundo", QuotesCheckChallengeRecommendation2 &lt;&gt; ""), QuotesCheckAbstract2,"")))</f>
        <v>DevOps tools are well integrated in BlueJ platform from IBM.</v>
      </c>
    </row>
    <row r="583">
      <c r="A583" s="22">
        <f>IFERROR(__xludf.DUMMYFUNCTION("if(or(QuotesCheckJudge="""",and(QuotesCheckJudge = ""primeiro"", QuotesCheckChallengeRecommendation1 &lt;&gt; """"),and(QuotesCheckJudge = ""segundo"", QuotesCheckChallengeRecommendation2 &lt;&gt; """")), filter('Quotes-Check'!A583:D583, 'Quotes-Check'!A583:D583&lt;&gt;""g"&amp;"lugluieie""),"""")"),14.0)</f>
        <v>14</v>
      </c>
      <c r="B583" s="22">
        <f>IFERROR(__xludf.DUMMYFUNCTION("""COMPUTED_VALUE"""),12.0)</f>
        <v>12</v>
      </c>
      <c r="C583" s="2" t="str">
        <f>IFERROR(__xludf.DUMMYFUNCTION("""COMPUTED_VALUE"""),"R2 / R3")</f>
        <v>R2 / R3</v>
      </c>
      <c r="D583" s="22" t="str">
        <f>IFERROR(__xludf.DUMMYFUNCTION("""COMPUTED_VALUE"""),"Tool / Technology")</f>
        <v>Tool / Technology</v>
      </c>
      <c r="E583" s="46" t="str">
        <f>IFERROR(__xludf.DUMMYFUNCTION("if(or(QuotesCheckJudge="""",and(QuotesCheckJudge = ""primeiro"", QuotesCheckChallengeRecommendation1 &lt;&gt; """")), filter('Quotes-Check'!E583:F583, 'Quotes-Check'!E583:F583&lt;&gt;""glugluieie""),if(and(QuotesCheckJudge = ""segundo"", QuotesCheckChallengeRecommend"&amp;"ation2 &lt;&gt; """"), filter('Quotes-Check'!I583:J583, 'Quotes-Check'!I583:J583&lt;&gt;""glugluieie""),""""))"),"challenge")</f>
        <v>challenge</v>
      </c>
      <c r="F583" s="22" t="str">
        <f>IFERROR(__xludf.DUMMYFUNCTION("""COMPUTED_VALUE""")," mean, captive of their platform and you also have to sign with your blood and agreements that you're doing it for academic purposes and those kind of things, because IBM can be quite aggressive with their partnership, um, policies. So except that I had t"&amp;"o sign something that was a little bit too much from my perspective, this kind of tooling was good.")</f>
        <v> mean, captive of their platform and you also have to sign with your blood and agreements that you're doing it for academic purposes and those kind of things, because IBM can be quite aggressive with their partnership, um, policies. So except that I had to sign something that was a little bit too much from my perspective, this kind of tooling was good.</v>
      </c>
      <c r="G583" s="22" t="str">
        <f>if(QuotesCheckJudgeAbstract&lt;&gt;"",QuotesCheckJudgeAbstract,if(or(QuotesCheckJudge="",and(QuotesCheckJudge = "primeiro", QuotesCheckChallengeRecommendation1 &lt;&gt; "")), QuotesCheckAbstract1,if(and(QuotesCheckJudge = "segundo", QuotesCheckChallengeRecommendation2 &lt;&gt; ""), QuotesCheckAbstract2,"")))</f>
        <v>Cloud providers can have aggressive policies in the agreements for academic purposes.</v>
      </c>
    </row>
    <row r="584">
      <c r="A584" s="22">
        <f>IFERROR(__xludf.DUMMYFUNCTION("if(or(QuotesCheckJudge="""",and(QuotesCheckJudge = ""primeiro"", QuotesCheckChallengeRecommendation1 &lt;&gt; """"),and(QuotesCheckJudge = ""segundo"", QuotesCheckChallengeRecommendation2 &lt;&gt; """")), filter('Quotes-Check'!A584:D584, 'Quotes-Check'!A584:D584&lt;&gt;""g"&amp;"lugluieie""),"""")"),14.0)</f>
        <v>14</v>
      </c>
      <c r="B584" s="22">
        <f>IFERROR(__xludf.DUMMYFUNCTION("""COMPUTED_VALUE"""),12.0)</f>
        <v>12</v>
      </c>
      <c r="C584" s="2" t="str">
        <f>IFERROR(__xludf.DUMMYFUNCTION("""COMPUTED_VALUE"""),"R2 / R3")</f>
        <v>R2 / R3</v>
      </c>
      <c r="D584" s="22" t="str">
        <f>IFERROR(__xludf.DUMMYFUNCTION("""COMPUTED_VALUE"""),"Tool / Technology")</f>
        <v>Tool / Technology</v>
      </c>
      <c r="E584" s="46" t="str">
        <f>IFERROR(__xludf.DUMMYFUNCTION("if(or(QuotesCheckJudge="""",and(QuotesCheckJudge = ""primeiro"", QuotesCheckChallengeRecommendation1 &lt;&gt; """")), filter('Quotes-Check'!E584:F584, 'Quotes-Check'!E584:F584&lt;&gt;""glugluieie""),if(and(QuotesCheckJudge = ""segundo"", QuotesCheckChallengeRecommend"&amp;"ation2 &lt;&gt; """"), filter('Quotes-Check'!I584:J584, 'Quotes-Check'!I584:J584&lt;&gt;""glugluieie""),""""))"),"recommendation")</f>
        <v>recommendation</v>
      </c>
      <c r="F584" s="22" t="str">
        <f>IFERROR(__xludf.DUMMYFUNCTION("""COMPUTED_VALUE"""),"let's go for something that we have more control on, uh, using for tools like Jenkins and and a stuff like Docker or Kubernetes was kind of good in a way to, uh, support the deployment and the, uh, like the building plus deployment stuff.")</f>
        <v>let's go for something that we have more control on, uh, using for tools like Jenkins and and a stuff like Docker or Kubernetes was kind of good in a way to, uh, support the deployment and the, uh, like the building plus deployment stuff.</v>
      </c>
      <c r="G584" s="22" t="str">
        <f>if(QuotesCheckJudgeAbstract&lt;&gt;"",QuotesCheckJudgeAbstract,if(or(QuotesCheckJudge="",and(QuotesCheckJudge = "primeiro", QuotesCheckChallengeRecommendation1 &lt;&gt; "")), QuotesCheckAbstract1,if(and(QuotesCheckJudge = "segundo", QuotesCheckChallengeRecommendation2 &lt;&gt; ""), QuotesCheckAbstract2,"")))</f>
        <v>Use tools like Jenkins to have more control on support the deployment.</v>
      </c>
    </row>
    <row r="585">
      <c r="A585" s="22">
        <f>IFERROR(__xludf.DUMMYFUNCTION("if(or(QuotesCheckJudge="""",and(QuotesCheckJudge = ""primeiro"", QuotesCheckChallengeRecommendation1 &lt;&gt; """"),and(QuotesCheckJudge = ""segundo"", QuotesCheckChallengeRecommendation2 &lt;&gt; """")), filter('Quotes-Check'!A585:D585, 'Quotes-Check'!A585:D585&lt;&gt;""g"&amp;"lugluieie""),"""")"),14.0)</f>
        <v>14</v>
      </c>
      <c r="B585" s="22">
        <f>IFERROR(__xludf.DUMMYFUNCTION("""COMPUTED_VALUE"""),12.0)</f>
        <v>12</v>
      </c>
      <c r="C585" s="2" t="str">
        <f>IFERROR(__xludf.DUMMYFUNCTION("""COMPUTED_VALUE"""),"R2 / R3")</f>
        <v>R2 / R3</v>
      </c>
      <c r="D585" s="22" t="str">
        <f>IFERROR(__xludf.DUMMYFUNCTION("""COMPUTED_VALUE"""),"Tool / Technology")</f>
        <v>Tool / Technology</v>
      </c>
      <c r="E585" s="46" t="str">
        <f>IFERROR(__xludf.DUMMYFUNCTION("if(or(QuotesCheckJudge="""",and(QuotesCheckJudge = ""primeiro"", QuotesCheckChallengeRecommendation1 &lt;&gt; """")), filter('Quotes-Check'!E585:F585, 'Quotes-Check'!E585:F585&lt;&gt;""glugluieie""),if(and(QuotesCheckJudge = ""segundo"", QuotesCheckChallengeRecommend"&amp;"ation2 &lt;&gt; """"), filter('Quotes-Check'!I585:J585, 'Quotes-Check'!I585:J585&lt;&gt;""glugluieie""),""""))"),"recommendation")</f>
        <v>recommendation</v>
      </c>
      <c r="F585" s="22" t="str">
        <f>IFERROR(__xludf.DUMMYFUNCTION("""COMPUTED_VALUE"""),"let's go for something that we have more control on, uh, using for tools like Jenkins and and a stuff like Docker or Kubernetes was kind of good in a way to, uh, support the deployment and the, uh, like the building plus deployment stuff.")</f>
        <v>let's go for something that we have more control on, uh, using for tools like Jenkins and and a stuff like Docker or Kubernetes was kind of good in a way to, uh, support the deployment and the, uh, like the building plus deployment stuff.</v>
      </c>
      <c r="G585" s="22" t="str">
        <f>if(QuotesCheckJudgeAbstract&lt;&gt;"",QuotesCheckJudgeAbstract,if(or(QuotesCheckJudge="",and(QuotesCheckJudge = "primeiro", QuotesCheckChallengeRecommendation1 &lt;&gt; "")), QuotesCheckAbstract1,if(and(QuotesCheckJudge = "segundo", QuotesCheckChallengeRecommendation2 &lt;&gt; ""), QuotesCheckAbstract2,"")))</f>
        <v>Use tools like Docker to have more control on support the deployment.</v>
      </c>
    </row>
    <row r="586">
      <c r="A586" s="22">
        <f>IFERROR(__xludf.DUMMYFUNCTION("if(or(QuotesCheckJudge="""",and(QuotesCheckJudge = ""primeiro"", QuotesCheckChallengeRecommendation1 &lt;&gt; """"),and(QuotesCheckJudge = ""segundo"", QuotesCheckChallengeRecommendation2 &lt;&gt; """")), filter('Quotes-Check'!A586:D586, 'Quotes-Check'!A586:D586&lt;&gt;""g"&amp;"lugluieie""),"""")"),14.0)</f>
        <v>14</v>
      </c>
      <c r="B586" s="22">
        <f>IFERROR(__xludf.DUMMYFUNCTION("""COMPUTED_VALUE"""),12.0)</f>
        <v>12</v>
      </c>
      <c r="C586" s="2" t="str">
        <f>IFERROR(__xludf.DUMMYFUNCTION("""COMPUTED_VALUE"""),"R2 / R3")</f>
        <v>R2 / R3</v>
      </c>
      <c r="D586" s="22" t="str">
        <f>IFERROR(__xludf.DUMMYFUNCTION("""COMPUTED_VALUE"""),"Tool / Technology")</f>
        <v>Tool / Technology</v>
      </c>
      <c r="E586" s="46" t="str">
        <f>IFERROR(__xludf.DUMMYFUNCTION("if(or(QuotesCheckJudge="""",and(QuotesCheckJudge = ""primeiro"", QuotesCheckChallengeRecommendation1 &lt;&gt; """")), filter('Quotes-Check'!E586:F586, 'Quotes-Check'!E586:F586&lt;&gt;""glugluieie""),if(and(QuotesCheckJudge = ""segundo"", QuotesCheckChallengeRecommend"&amp;"ation2 &lt;&gt; """"), filter('Quotes-Check'!I586:J586, 'Quotes-Check'!I586:J586&lt;&gt;""glugluieie""),""""))"),"recommendation")</f>
        <v>recommendation</v>
      </c>
      <c r="F586" s="22" t="str">
        <f>IFERROR(__xludf.DUMMYFUNCTION("""COMPUTED_VALUE"""),"let's go for something that we have more control on, uh, using for tools like Jenkins and and a stuff like Docker or Kubernetes was kind of good in a way to, uh, support the deployment and the, uh, like the building plus deployment stuff.")</f>
        <v>let's go for something that we have more control on, uh, using for tools like Jenkins and and a stuff like Docker or Kubernetes was kind of good in a way to, uh, support the deployment and the, uh, like the building plus deployment stuff.</v>
      </c>
      <c r="G586" s="22" t="str">
        <f>if(QuotesCheckJudgeAbstract&lt;&gt;"",QuotesCheckJudgeAbstract,if(or(QuotesCheckJudge="",and(QuotesCheckJudge = "primeiro", QuotesCheckChallengeRecommendation1 &lt;&gt; "")), QuotesCheckAbstract1,if(and(QuotesCheckJudge = "segundo", QuotesCheckChallengeRecommendation2 &lt;&gt; ""), QuotesCheckAbstract2,"")))</f>
        <v>Use tools like Kubernetes to have more control on support the deployment.</v>
      </c>
    </row>
    <row r="587">
      <c r="A587" s="22">
        <f>IFERROR(__xludf.DUMMYFUNCTION("if(or(QuotesCheckJudge="""",and(QuotesCheckJudge = ""primeiro"", QuotesCheckChallengeRecommendation1 &lt;&gt; """"),and(QuotesCheckJudge = ""segundo"", QuotesCheckChallengeRecommendation2 &lt;&gt; """")), filter('Quotes-Check'!A587:D587, 'Quotes-Check'!A587:D587&lt;&gt;""g"&amp;"lugluieie""),"""")"),14.0)</f>
        <v>14</v>
      </c>
      <c r="B587" s="22">
        <f>IFERROR(__xludf.DUMMYFUNCTION("""COMPUTED_VALUE"""),13.0)</f>
        <v>13</v>
      </c>
      <c r="C587" s="2" t="str">
        <f>IFERROR(__xludf.DUMMYFUNCTION("""COMPUTED_VALUE"""),"R1 / R3")</f>
        <v>R1 / R3</v>
      </c>
      <c r="D587" s="22" t="str">
        <f>IFERROR(__xludf.DUMMYFUNCTION("""COMPUTED_VALUE"""),"Tool / Technology")</f>
        <v>Tool / Technology</v>
      </c>
      <c r="E587" s="46" t="str">
        <f>IFERROR(__xludf.DUMMYFUNCTION("if(or(QuotesCheckJudge="""",and(QuotesCheckJudge = ""primeiro"", QuotesCheckChallengeRecommendation1 &lt;&gt; """")), filter('Quotes-Check'!E587:F587, 'Quotes-Check'!E587:F587&lt;&gt;""glugluieie""),if(and(QuotesCheckJudge = ""segundo"", QuotesCheckChallengeRecommend"&amp;"ation2 &lt;&gt; """"), filter('Quotes-Check'!I587:J587, 'Quotes-Check'!I587:J587&lt;&gt;""glugluieie""),""""))"),"recommendation")</f>
        <v>recommendation</v>
      </c>
      <c r="F587" s="22" t="str">
        <f>IFERROR(__xludf.DUMMYFUNCTION("""COMPUTED_VALUE"""),"The student had to have the code that goes so git as a version control system, uh, GitHub GitLab, the, we had a Bitbucket on-premise also, uh, deployed inside the school.")</f>
        <v>The student had to have the code that goes so git as a version control system, uh, GitHub GitLab, the, we had a Bitbucket on-premise also, uh, deployed inside the school.</v>
      </c>
      <c r="G587" s="22" t="str">
        <f>if(QuotesCheckJudgeAbstract&lt;&gt;"",QuotesCheckJudgeAbstract,if(or(QuotesCheckJudge="",and(QuotesCheckJudge = "primeiro", QuotesCheckChallengeRecommendation1 &lt;&gt; "")), QuotesCheckAbstract1,if(and(QuotesCheckJudge = "segundo", QuotesCheckChallengeRecommendation2 &lt;&gt; ""), QuotesCheckAbstract2,"")))</f>
        <v>Use github, gitlab or bitbucket as version control system tools adopted by the course.</v>
      </c>
    </row>
    <row r="588">
      <c r="A588" s="22">
        <f>IFERROR(__xludf.DUMMYFUNCTION("if(or(QuotesCheckJudge="""",and(QuotesCheckJudge = ""primeiro"", QuotesCheckChallengeRecommendation1 &lt;&gt; """"),and(QuotesCheckJudge = ""segundo"", QuotesCheckChallengeRecommendation2 &lt;&gt; """")), filter('Quotes-Check'!A588:D588, 'Quotes-Check'!A588:D588&lt;&gt;""g"&amp;"lugluieie""),"""")"),14.0)</f>
        <v>14</v>
      </c>
      <c r="B588" s="22">
        <f>IFERROR(__xludf.DUMMYFUNCTION("""COMPUTED_VALUE"""),13.0)</f>
        <v>13</v>
      </c>
      <c r="C588" s="2" t="str">
        <f>IFERROR(__xludf.DUMMYFUNCTION("""COMPUTED_VALUE"""),"R1 / R3")</f>
        <v>R1 / R3</v>
      </c>
      <c r="D588" s="22" t="str">
        <f>IFERROR(__xludf.DUMMYFUNCTION("""COMPUTED_VALUE"""),"Tool / Technology")</f>
        <v>Tool / Technology</v>
      </c>
      <c r="E588" s="46" t="str">
        <f>IFERROR(__xludf.DUMMYFUNCTION("if(or(QuotesCheckJudge="""",and(QuotesCheckJudge = ""primeiro"", QuotesCheckChallengeRecommendation1 &lt;&gt; """")), filter('Quotes-Check'!E588:F588, 'Quotes-Check'!E588:F588&lt;&gt;""glugluieie""),if(and(QuotesCheckJudge = ""segundo"", QuotesCheckChallengeRecommend"&amp;"ation2 &lt;&gt; """"), filter('Quotes-Check'!I588:J588, 'Quotes-Check'!I588:J588&lt;&gt;""glugluieie""),""""))"),"recommendation")</f>
        <v>recommendation</v>
      </c>
      <c r="F588" s="22" t="str">
        <f>IFERROR(__xludf.DUMMYFUNCTION("""COMPUTED_VALUE"""),"I want the code to go through a pipeline. It could be Jenkins. It could be github actions. It could be gitlab workflow. It could be GitHub action")</f>
        <v>I want the code to go through a pipeline. It could be Jenkins. It could be github actions. It could be gitlab workflow. It could be GitHub action</v>
      </c>
      <c r="G588" s="22" t="str">
        <f>if(QuotesCheckJudgeAbstract&lt;&gt;"",QuotesCheckJudgeAbstract,if(or(QuotesCheckJudge="",and(QuotesCheckJudge = "primeiro", QuotesCheckChallengeRecommendation1 &lt;&gt; "")), QuotesCheckAbstract1,if(and(QuotesCheckJudge = "segundo", QuotesCheckChallengeRecommendation2 &lt;&gt; ""), QuotesCheckAbstract2,"")))</f>
        <v>Use Jenkins, GitLab, or Github Actions as pipeline orchestration tools adopted by the course.</v>
      </c>
    </row>
    <row r="589">
      <c r="A589" s="22">
        <f>IFERROR(__xludf.DUMMYFUNCTION("if(or(QuotesCheckJudge="""",and(QuotesCheckJudge = ""primeiro"", QuotesCheckChallengeRecommendation1 &lt;&gt; """"),and(QuotesCheckJudge = ""segundo"", QuotesCheckChallengeRecommendation2 &lt;&gt; """")), filter('Quotes-Check'!A589:D589, 'Quotes-Check'!A589:D589&lt;&gt;""g"&amp;"lugluieie""),"""")"),14.0)</f>
        <v>14</v>
      </c>
      <c r="B589" s="22">
        <f>IFERROR(__xludf.DUMMYFUNCTION("""COMPUTED_VALUE"""),13.0)</f>
        <v>13</v>
      </c>
      <c r="C589" s="2" t="str">
        <f>IFERROR(__xludf.DUMMYFUNCTION("""COMPUTED_VALUE"""),"R1 / R3")</f>
        <v>R1 / R3</v>
      </c>
      <c r="D589" s="22" t="str">
        <f>IFERROR(__xludf.DUMMYFUNCTION("""COMPUTED_VALUE"""),"Tool / Technology")</f>
        <v>Tool / Technology</v>
      </c>
      <c r="E589" s="46" t="str">
        <f>IFERROR(__xludf.DUMMYFUNCTION("if(or(QuotesCheckJudge="""",and(QuotesCheckJudge = ""primeiro"", QuotesCheckChallengeRecommendation1 &lt;&gt; """")), filter('Quotes-Check'!E589:F589, 'Quotes-Check'!E589:F589&lt;&gt;""glugluieie""),if(and(QuotesCheckJudge = ""segundo"", QuotesCheckChallengeRecommend"&amp;"ation2 &lt;&gt; """"), filter('Quotes-Check'!I589:J589, 'Quotes-Check'!I589:J589&lt;&gt;""glugluieie""),""""))"),"recommendation")</f>
        <v>recommendation</v>
      </c>
      <c r="F589" s="22" t="str">
        <f>IFERROR(__xludf.DUMMYFUNCTION("""COMPUTED_VALUE"""),"I want to be able to deploy it with containers. So it can be, um, through Kubernetes, it can be through Docker.")</f>
        <v>I want to be able to deploy it with containers. So it can be, um, through Kubernetes, it can be through Docker.</v>
      </c>
      <c r="G589" s="22" t="str">
        <f>if(QuotesCheckJudgeAbstract&lt;&gt;"",QuotesCheckJudgeAbstract,if(or(QuotesCheckJudge="",and(QuotesCheckJudge = "primeiro", QuotesCheckChallengeRecommendation1 &lt;&gt; "")), QuotesCheckAbstract1,if(and(QuotesCheckJudge = "segundo", QuotesCheckChallengeRecommendation2 &lt;&gt; ""), QuotesCheckAbstract2,"")))</f>
        <v>Use Docker as container deployment tool adopted by the course.</v>
      </c>
    </row>
    <row r="590">
      <c r="A590" s="22">
        <f>IFERROR(__xludf.DUMMYFUNCTION("if(or(QuotesCheckJudge="""",and(QuotesCheckJudge = ""primeiro"", QuotesCheckChallengeRecommendation1 &lt;&gt; """"),and(QuotesCheckJudge = ""segundo"", QuotesCheckChallengeRecommendation2 &lt;&gt; """")), filter('Quotes-Check'!A590:D590, 'Quotes-Check'!A590:D590&lt;&gt;""g"&amp;"lugluieie""),"""")"),14.0)</f>
        <v>14</v>
      </c>
      <c r="B590" s="22">
        <f>IFERROR(__xludf.DUMMYFUNCTION("""COMPUTED_VALUE"""),13.0)</f>
        <v>13</v>
      </c>
      <c r="C590" s="2" t="str">
        <f>IFERROR(__xludf.DUMMYFUNCTION("""COMPUTED_VALUE"""),"R1 / R3")</f>
        <v>R1 / R3</v>
      </c>
      <c r="D590" s="22" t="str">
        <f>IFERROR(__xludf.DUMMYFUNCTION("""COMPUTED_VALUE"""),"Tool / Technology")</f>
        <v>Tool / Technology</v>
      </c>
      <c r="E590" s="46" t="str">
        <f>IFERROR(__xludf.DUMMYFUNCTION("if(or(QuotesCheckJudge="""",and(QuotesCheckJudge = ""primeiro"", QuotesCheckChallengeRecommendation1 &lt;&gt; """")), filter('Quotes-Check'!E590:F590, 'Quotes-Check'!E590:F590&lt;&gt;""glugluieie""),if(and(QuotesCheckJudge = ""segundo"", QuotesCheckChallengeRecommend"&amp;"ation2 &lt;&gt; """"), filter('Quotes-Check'!I590:J590, 'Quotes-Check'!I590:J590&lt;&gt;""glugluieie""),""""))"),"recommendation")</f>
        <v>recommendation</v>
      </c>
      <c r="F590" s="22" t="str">
        <f>IFERROR(__xludf.DUMMYFUNCTION("""COMPUTED_VALUE"""),"I want to be able to deploy it with containers. So it can be, um, through Kubernetes, it can be through Docker.")</f>
        <v>I want to be able to deploy it with containers. So it can be, um, through Kubernetes, it can be through Docker.</v>
      </c>
      <c r="G590" s="22" t="str">
        <f>if(QuotesCheckJudgeAbstract&lt;&gt;"",QuotesCheckJudgeAbstract,if(or(QuotesCheckJudge="",and(QuotesCheckJudge = "primeiro", QuotesCheckChallengeRecommendation1 &lt;&gt; "")), QuotesCheckAbstract1,if(and(QuotesCheckJudge = "segundo", QuotesCheckChallengeRecommendation2 &lt;&gt; ""), QuotesCheckAbstract2,"")))</f>
        <v>Use Kubernetes as container deployment tool adopted by the course.</v>
      </c>
    </row>
    <row r="591">
      <c r="A591" s="22">
        <f>IFERROR(__xludf.DUMMYFUNCTION("if(or(QuotesCheckJudge="""",and(QuotesCheckJudge = ""primeiro"", QuotesCheckChallengeRecommendation1 &lt;&gt; """"),and(QuotesCheckJudge = ""segundo"", QuotesCheckChallengeRecommendation2 &lt;&gt; """")), filter('Quotes-Check'!A591:D591, 'Quotes-Check'!A591:D591&lt;&gt;""g"&amp;"lugluieie""),"""")"),14.0)</f>
        <v>14</v>
      </c>
      <c r="B591" s="22">
        <f>IFERROR(__xludf.DUMMYFUNCTION("""COMPUTED_VALUE"""),13.0)</f>
        <v>13</v>
      </c>
      <c r="C591" s="2" t="str">
        <f>IFERROR(__xludf.DUMMYFUNCTION("""COMPUTED_VALUE"""),"R1 / R3")</f>
        <v>R1 / R3</v>
      </c>
      <c r="D591" s="22" t="str">
        <f>IFERROR(__xludf.DUMMYFUNCTION("""COMPUTED_VALUE"""),"Tool / Technology")</f>
        <v>Tool / Technology</v>
      </c>
      <c r="E591" s="46" t="str">
        <f>IFERROR(__xludf.DUMMYFUNCTION("if(or(QuotesCheckJudge="""",and(QuotesCheckJudge = ""primeiro"", QuotesCheckChallengeRecommendation1 &lt;&gt; """")), filter('Quotes-Check'!E591:F591, 'Quotes-Check'!E591:F591&lt;&gt;""glugluieie""),if(and(QuotesCheckJudge = ""segundo"", QuotesCheckChallengeRecommend"&amp;"ation2 &lt;&gt; """"), filter('Quotes-Check'!I591:J591, 'Quotes-Check'!I591:J591&lt;&gt;""glugluieie""),""""))"),"recommendation")</f>
        <v>recommendation</v>
      </c>
      <c r="F591" s="22" t="str">
        <f>IFERROR(__xludf.DUMMYFUNCTION("""COMPUTED_VALUE"""),"it was a graduate course, I started not to, uh, enforce given tools ... I want you to have a version control system that should be git, but git up, gitlab Bitbucket, Bitbucket on premises. ...  you can justify and defend each step of what's happening to y"&amp;"our code in the context of devops.")</f>
        <v>it was a graduate course, I started not to, uh, enforce given tools ... I want you to have a version control system that should be git, but git up, gitlab Bitbucket, Bitbucket on premises. ...  you can justify and defend each step of what's happening to your code in the context of devops.</v>
      </c>
      <c r="G591" s="22" t="str">
        <f>if(QuotesCheckJudgeAbstract&lt;&gt;"",QuotesCheckJudgeAbstract,if(or(QuotesCheckJudge="",and(QuotesCheckJudge = "primeiro", QuotesCheckChallengeRecommendation1 &lt;&gt; "")), QuotesCheckAbstract1,if(and(QuotesCheckJudge = "segundo", QuotesCheckChallengeRecommendation2 &lt;&gt; ""), QuotesCheckAbstract2,"")))</f>
        <v>Do not enforce given tools on a graduate course. The students should justify and defend each step of what's happening to their code in the context of devops.</v>
      </c>
    </row>
    <row r="592">
      <c r="A592" s="22">
        <f>IFERROR(__xludf.DUMMYFUNCTION("if(or(QuotesCheckJudge="""",and(QuotesCheckJudge = ""primeiro"", QuotesCheckChallengeRecommendation1 &lt;&gt; """"),and(QuotesCheckJudge = ""segundo"", QuotesCheckChallengeRecommendation2 &lt;&gt; """")), filter('Quotes-Check'!A592:D592, 'Quotes-Check'!A592:D592&lt;&gt;""g"&amp;"lugluieie""),"""")"),14.0)</f>
        <v>14</v>
      </c>
      <c r="B592" s="22">
        <f>IFERROR(__xludf.DUMMYFUNCTION("""COMPUTED_VALUE"""),15.0)</f>
        <v>15</v>
      </c>
      <c r="C592" s="2" t="str">
        <f>IFERROR(__xludf.DUMMYFUNCTION("""COMPUTED_VALUE"""),"R1 / R3")</f>
        <v>R1 / R3</v>
      </c>
      <c r="D592" s="22" t="str">
        <f>IFERROR(__xludf.DUMMYFUNCTION("""COMPUTED_VALUE"""),"DevOps Concepts")</f>
        <v>DevOps Concepts</v>
      </c>
      <c r="E592" s="46" t="str">
        <f>IFERROR(__xludf.DUMMYFUNCTION("if(or(QuotesCheckJudge="""",and(QuotesCheckJudge = ""primeiro"", QuotesCheckChallengeRecommendation1 &lt;&gt; """")), filter('Quotes-Check'!E592:F592, 'Quotes-Check'!E592:F592&lt;&gt;""glugluieie""),if(and(QuotesCheckJudge = ""segundo"", QuotesCheckChallengeRecommend"&amp;"ation2 &lt;&gt; """"), filter('Quotes-Check'!I592:J592, 'Quotes-Check'!I592:J592&lt;&gt;""glugluieie""),""""))"),"challenge")</f>
        <v>challenge</v>
      </c>
      <c r="F592" s="22" t="str">
        <f>IFERROR(__xludf.DUMMYFUNCTION("""COMPUTED_VALUE""")," when you're talking to freshmen and they have no idea what's happening. Like they have a superficial idea of what's happening. Then it's like finding a way to explain them why the mindset is important. ")</f>
        <v> when you're talking to freshmen and they have no idea what's happening. Like they have a superficial idea of what's happening. Then it's like finding a way to explain them why the mindset is important. </v>
      </c>
      <c r="G592" s="22" t="str">
        <f>if(QuotesCheckJudgeAbstract&lt;&gt;"",QuotesCheckJudgeAbstract,if(or(QuotesCheckJudge="",and(QuotesCheckJudge = "primeiro", QuotesCheckChallengeRecommendation1 &lt;&gt; "")), QuotesCheckAbstract1,if(and(QuotesCheckJudge = "segundo", QuotesCheckChallengeRecommendation2 &lt;&gt; ""), QuotesCheckAbstract2,"")))</f>
        <v>It is difficult to explain the importance of DevOps mindset to students that have a superficial idea of what is happening to industry.</v>
      </c>
    </row>
    <row r="593">
      <c r="A593" s="22">
        <f>IFERROR(__xludf.DUMMYFUNCTION("if(or(QuotesCheckJudge="""",and(QuotesCheckJudge = ""primeiro"", QuotesCheckChallengeRecommendation1 &lt;&gt; """"),and(QuotesCheckJudge = ""segundo"", QuotesCheckChallengeRecommendation2 &lt;&gt; """")), filter('Quotes-Check'!A593:D593, 'Quotes-Check'!A593:D593&lt;&gt;""g"&amp;"lugluieie""),"""")"),14.0)</f>
        <v>14</v>
      </c>
      <c r="B593" s="22">
        <f>IFERROR(__xludf.DUMMYFUNCTION("""COMPUTED_VALUE"""),16.0)</f>
        <v>16</v>
      </c>
      <c r="C593" s="2" t="str">
        <f>IFERROR(__xludf.DUMMYFUNCTION("""COMPUTED_VALUE"""),"R1 / R2")</f>
        <v>R1 / R2</v>
      </c>
      <c r="D593" s="22" t="str">
        <f>IFERROR(__xludf.DUMMYFUNCTION("""COMPUTED_VALUE"""),"Class Preparation")</f>
        <v>Class Preparation</v>
      </c>
      <c r="E593" s="46" t="str">
        <f>IFERROR(__xludf.DUMMYFUNCTION("if(or(QuotesCheckJudge="""",and(QuotesCheckJudge = ""primeiro"", QuotesCheckChallengeRecommendation1 &lt;&gt; """")), filter('Quotes-Check'!E593:F593, 'Quotes-Check'!E593:F593&lt;&gt;""glugluieie""),if(and(QuotesCheckJudge = ""segundo"", QuotesCheckChallengeRecommend"&amp;"ation2 &lt;&gt; """"), filter('Quotes-Check'!I593:J593, 'Quotes-Check'!I593:J593&lt;&gt;""glugluieie""),""""))"),"challenge")</f>
        <v>challenge</v>
      </c>
      <c r="F593" s="22" t="str">
        <f>IFERROR(__xludf.DUMMYFUNCTION("""COMPUTED_VALUE"""),"the lab session, they have to be like really precise. You have to, it would work one day. And then the second day it doesn't work because there's an upgrade in the Docker API that makes things totally different. Or you you're, you're using it in the Docke"&amp;"rfile, you're using keywords. And then suddenly the new version of Docker decide that those keywords are deprecated and that you should not, uh, declared the authors this way.")</f>
        <v>the lab session, they have to be like really precise. You have to, it would work one day. And then the second day it doesn't work because there's an upgrade in the Docker API that makes things totally different. Or you you're, you're using it in the Dockerfile, you're using keywords. And then suddenly the new version of Docker decide that those keywords are deprecated and that you should not, uh, declared the authors this way.</v>
      </c>
      <c r="G593" s="22" t="str">
        <f>if(QuotesCheckJudgeAbstract&lt;&gt;"",QuotesCheckJudgeAbstract,if(or(QuotesCheckJudge="",and(QuotesCheckJudge = "primeiro", QuotesCheckChallengeRecommendation1 &lt;&gt; "")), QuotesCheckAbstract1,if(and(QuotesCheckJudge = "segundo", QuotesCheckChallengeRecommendation2 &lt;&gt; ""), QuotesCheckAbstract2,"")))</f>
        <v>Lab session works one day and then doesn't work because there are changes like update in Docker API.</v>
      </c>
    </row>
    <row r="594">
      <c r="A594" s="22">
        <f>IFERROR(__xludf.DUMMYFUNCTION("if(or(QuotesCheckJudge="""",and(QuotesCheckJudge = ""primeiro"", QuotesCheckChallengeRecommendation1 &lt;&gt; """"),and(QuotesCheckJudge = ""segundo"", QuotesCheckChallengeRecommendation2 &lt;&gt; """")), filter('Quotes-Check'!A594:D594, 'Quotes-Check'!A594:D594&lt;&gt;""g"&amp;"lugluieie""),"""")"),14.0)</f>
        <v>14</v>
      </c>
      <c r="B594" s="22">
        <f>IFERROR(__xludf.DUMMYFUNCTION("""COMPUTED_VALUE"""),16.0)</f>
        <v>16</v>
      </c>
      <c r="C594" s="2" t="str">
        <f>IFERROR(__xludf.DUMMYFUNCTION("""COMPUTED_VALUE"""),"R1 / R2")</f>
        <v>R1 / R2</v>
      </c>
      <c r="D594" s="22" t="str">
        <f>IFERROR(__xludf.DUMMYFUNCTION("""COMPUTED_VALUE"""),"Class Preparation")</f>
        <v>Class Preparation</v>
      </c>
      <c r="E594" s="46" t="str">
        <f>IFERROR(__xludf.DUMMYFUNCTION("if(or(QuotesCheckJudge="""",and(QuotesCheckJudge = ""primeiro"", QuotesCheckChallengeRecommendation1 &lt;&gt; """")), filter('Quotes-Check'!E594:F594, 'Quotes-Check'!E594:F594&lt;&gt;""glugluieie""),if(and(QuotesCheckJudge = ""segundo"", QuotesCheckChallengeRecommend"&amp;"ation2 &lt;&gt; """"), filter('Quotes-Check'!I594:J594, 'Quotes-Check'!I594:J594&lt;&gt;""glugluieie""),""""))"),"challenge")</f>
        <v>challenge</v>
      </c>
      <c r="F594" s="22" t="str">
        <f>IFERROR(__xludf.DUMMYFUNCTION("""COMPUTED_VALUE"""),"I think that that's one of the course that costed me the most in terms of, uh, frustrating time I've spent, uh, debugging lab sessions, ")</f>
        <v>I think that that's one of the course that costed me the most in terms of, uh, frustrating time I've spent, uh, debugging lab sessions, </v>
      </c>
      <c r="G594" s="22" t="str">
        <f>if(QuotesCheckJudgeAbstract&lt;&gt;"",QuotesCheckJudgeAbstract,if(or(QuotesCheckJudge="",and(QuotesCheckJudge = "primeiro", QuotesCheckChallengeRecommendation1 &lt;&gt; "")), QuotesCheckAbstract1,if(and(QuotesCheckJudge = "segundo", QuotesCheckChallengeRecommendation2 &lt;&gt; ""), QuotesCheckAbstract2,"")))</f>
        <v>Debugging lab sessions are frustating.</v>
      </c>
    </row>
    <row r="595">
      <c r="A595" s="22">
        <f>IFERROR(__xludf.DUMMYFUNCTION("if(or(QuotesCheckJudge="""",and(QuotesCheckJudge = ""primeiro"", QuotesCheckChallengeRecommendation1 &lt;&gt; """"),and(QuotesCheckJudge = ""segundo"", QuotesCheckChallengeRecommendation2 &lt;&gt; """")), filter('Quotes-Check'!A595:D595, 'Quotes-Check'!A595:D595&lt;&gt;""g"&amp;"lugluieie""),"""")"),14.0)</f>
        <v>14</v>
      </c>
      <c r="B595" s="22">
        <f>IFERROR(__xludf.DUMMYFUNCTION("""COMPUTED_VALUE"""),17.0)</f>
        <v>17</v>
      </c>
      <c r="C595" s="2" t="str">
        <f>IFERROR(__xludf.DUMMYFUNCTION("""COMPUTED_VALUE"""),"R2 / R3")</f>
        <v>R2 / R3</v>
      </c>
      <c r="D595" s="22" t="str">
        <f>IFERROR(__xludf.DUMMYFUNCTION("""COMPUTED_VALUE"""),"Class Preparation")</f>
        <v>Class Preparation</v>
      </c>
      <c r="E595" s="46" t="str">
        <f>IFERROR(__xludf.DUMMYFUNCTION("if(or(QuotesCheckJudge="""",and(QuotesCheckJudge = ""primeiro"", QuotesCheckChallengeRecommendation1 &lt;&gt; """")), filter('Quotes-Check'!E595:F595, 'Quotes-Check'!E595:F595&lt;&gt;""glugluieie""),if(and(QuotesCheckJudge = ""segundo"", QuotesCheckChallengeRecommend"&amp;"ation2 &lt;&gt; """"), filter('Quotes-Check'!I595:J595, 'Quotes-Check'!I595:J595&lt;&gt;""glugluieie""),""""))"),"challenge")</f>
        <v>challenge</v>
      </c>
      <c r="F595" s="22" t="str">
        <f>IFERROR(__xludf.DUMMYFUNCTION("""COMPUTED_VALUE"""),"So keeping things up to date and making things work like really working in, in, in being able to run the labs, not in panic mode, that everything was fragile and everything was able to collapse at any point was really stressful. And of course, a lot of th"&amp;"ings, I think it costs me like twice or three times the cost of preparing a regular course.")</f>
        <v>So keeping things up to date and making things work like really working in, in, in being able to run the labs, not in panic mode, that everything was fragile and everything was able to collapse at any point was really stressful. And of course, a lot of things, I think it costs me like twice or three times the cost of preparing a regular course.</v>
      </c>
      <c r="G595" s="22" t="str">
        <f>if(QuotesCheckJudgeAbstract&lt;&gt;"",QuotesCheckJudgeAbstract,if(or(QuotesCheckJudge="",and(QuotesCheckJudge = "primeiro", QuotesCheckChallengeRecommendation1 &lt;&gt; "")), QuotesCheckAbstract1,if(and(QuotesCheckJudge = "segundo", QuotesCheckChallengeRecommendation2 &lt;&gt; ""), QuotesCheckAbstract2,"")))</f>
        <v>Keeping things up to date and making things working the labs is really stressful and time costing.</v>
      </c>
    </row>
    <row r="596">
      <c r="A596" s="22">
        <f>IFERROR(__xludf.DUMMYFUNCTION("if(or(QuotesCheckJudge="""",and(QuotesCheckJudge = ""primeiro"", QuotesCheckChallengeRecommendation1 &lt;&gt; """"),and(QuotesCheckJudge = ""segundo"", QuotesCheckChallengeRecommendation2 &lt;&gt; """")), filter('Quotes-Check'!A596:D596, 'Quotes-Check'!A596:D596&lt;&gt;""g"&amp;"lugluieie""),"""")"),14.0)</f>
        <v>14</v>
      </c>
      <c r="B596" s="22">
        <f>IFERROR(__xludf.DUMMYFUNCTION("""COMPUTED_VALUE"""),17.0)</f>
        <v>17</v>
      </c>
      <c r="C596" s="2" t="str">
        <f>IFERROR(__xludf.DUMMYFUNCTION("""COMPUTED_VALUE"""),"R2 / R3")</f>
        <v>R2 / R3</v>
      </c>
      <c r="D596" s="22" t="str">
        <f>IFERROR(__xludf.DUMMYFUNCTION("""COMPUTED_VALUE"""),"Class Preparation")</f>
        <v>Class Preparation</v>
      </c>
      <c r="E596" s="46" t="str">
        <f>IFERROR(__xludf.DUMMYFUNCTION("if(or(QuotesCheckJudge="""",and(QuotesCheckJudge = ""primeiro"", QuotesCheckChallengeRecommendation1 &lt;&gt; """")), filter('Quotes-Check'!E596:F596, 'Quotes-Check'!E596:F596&lt;&gt;""glugluieie""),if(and(QuotesCheckJudge = ""segundo"", QuotesCheckChallengeRecommend"&amp;"ation2 &lt;&gt; """"), filter('Quotes-Check'!I596:J596, 'Quotes-Check'!I596:J596&lt;&gt;""glugluieie""),""""))"),"recommendation")</f>
        <v>recommendation</v>
      </c>
      <c r="F596" s="22" t="str">
        <f>IFERROR(__xludf.DUMMYFUNCTION("""COMPUTED_VALUE"""),"to carefully select the, um, I, I have a lot of industrial, uh, practitioners, guest lectures. Uh, we, we, we had the one prof that wasn't industrial.")</f>
        <v>to carefully select the, um, I, I have a lot of industrial, uh, practitioners, guest lectures. Uh, we, we, we had the one prof that wasn't industrial.</v>
      </c>
      <c r="G596" s="22" t="str">
        <f>if(QuotesCheckJudgeAbstract&lt;&gt;"",QuotesCheckJudgeAbstract,if(or(QuotesCheckJudge="",and(QuotesCheckJudge = "primeiro", QuotesCheckChallengeRecommendation1 &lt;&gt; "")), QuotesCheckAbstract1,if(and(QuotesCheckJudge = "segundo", QuotesCheckChallengeRecommendation2 &lt;&gt; ""), QuotesCheckAbstract2,"")))</f>
        <v>You should be careful about selecting guest lectures. Prefer industrial practitioners.</v>
      </c>
    </row>
    <row r="597">
      <c r="A597" s="22">
        <f>IFERROR(__xludf.DUMMYFUNCTION("if(or(QuotesCheckJudge="""",and(QuotesCheckJudge = ""primeiro"", QuotesCheckChallengeRecommendation1 &lt;&gt; """"),and(QuotesCheckJudge = ""segundo"", QuotesCheckChallengeRecommendation2 &lt;&gt; """")), filter('Quotes-Check'!A597:D597, 'Quotes-Check'!A597:D597&lt;&gt;""g"&amp;"lugluieie""),"""")"),14.0)</f>
        <v>14</v>
      </c>
      <c r="B597" s="22">
        <f>IFERROR(__xludf.DUMMYFUNCTION("""COMPUTED_VALUE"""),18.0)</f>
        <v>18</v>
      </c>
      <c r="C597" s="2" t="str">
        <f>IFERROR(__xludf.DUMMYFUNCTION("""COMPUTED_VALUE"""),"R1 / R3")</f>
        <v>R1 / R3</v>
      </c>
      <c r="D597" s="22" t="str">
        <f>IFERROR(__xludf.DUMMYFUNCTION("""COMPUTED_VALUE"""),"Class Preparation")</f>
        <v>Class Preparation</v>
      </c>
      <c r="E597" s="46" t="str">
        <f>IFERROR(__xludf.DUMMYFUNCTION("if(or(QuotesCheckJudge="""",and(QuotesCheckJudge = ""primeiro"", QuotesCheckChallengeRecommendation1 &lt;&gt; """")), filter('Quotes-Check'!E597:F597, 'Quotes-Check'!E597:F597&lt;&gt;""glugluieie""),if(and(QuotesCheckJudge = ""segundo"", QuotesCheckChallengeRecommend"&amp;"ation2 &lt;&gt; """"), filter('Quotes-Check'!I597:J597, 'Quotes-Check'!I597:J597&lt;&gt;""glugluieie""),""""))"),"recommendation")</f>
        <v>recommendation</v>
      </c>
      <c r="F597" s="22" t="str">
        <f>IFERROR(__xludf.DUMMYFUNCTION("""COMPUTED_VALUE"""),"the bigger mistake I've made was to, uh, use a coach. Uh, and we invited him and the guy was, uh, setting himself running himself as a DevOps coach, but the guy just had written books and, uh, had no idea what he was talking about. ")</f>
        <v>the bigger mistake I've made was to, uh, use a coach. Uh, and we invited him and the guy was, uh, setting himself running himself as a DevOps coach, but the guy just had written books and, uh, had no idea what he was talking about. </v>
      </c>
      <c r="G597" s="22" t="str">
        <f>if(QuotesCheckJudgeAbstract&lt;&gt;"",QuotesCheckJudgeAbstract,if(or(QuotesCheckJudge="",and(QuotesCheckJudge = "primeiro", QuotesCheckChallengeRecommendation1 &lt;&gt; "")), QuotesCheckAbstract1,if(and(QuotesCheckJudge = "segundo", QuotesCheckChallengeRecommendation2 &lt;&gt; ""), QuotesCheckAbstract2,"")))</f>
        <v>Do not invite a DevOps coach to do DevOps lectures.</v>
      </c>
    </row>
    <row r="598">
      <c r="A598" s="22">
        <f>IFERROR(__xludf.DUMMYFUNCTION("if(or(QuotesCheckJudge="""",and(QuotesCheckJudge = ""primeiro"", QuotesCheckChallengeRecommendation1 &lt;&gt; """"),and(QuotesCheckJudge = ""segundo"", QuotesCheckChallengeRecommendation2 &lt;&gt; """")), filter('Quotes-Check'!A598:D598, 'Quotes-Check'!A598:D598&lt;&gt;""g"&amp;"lugluieie""),"""")"),14.0)</f>
        <v>14</v>
      </c>
      <c r="B598" s="22">
        <f>IFERROR(__xludf.DUMMYFUNCTION("""COMPUTED_VALUE"""),19.0)</f>
        <v>19</v>
      </c>
      <c r="C598" s="2" t="str">
        <f>IFERROR(__xludf.DUMMYFUNCTION("""COMPUTED_VALUE"""),"R1 / R3")</f>
        <v>R1 / R3</v>
      </c>
      <c r="D598" s="22" t="str">
        <f>IFERROR(__xludf.DUMMYFUNCTION("""COMPUTED_VALUE"""),"Pedagogy")</f>
        <v>Pedagogy</v>
      </c>
      <c r="E598" s="46" t="str">
        <f>IFERROR(__xludf.DUMMYFUNCTION("if(or(QuotesCheckJudge="""",and(QuotesCheckJudge = ""primeiro"", QuotesCheckChallengeRecommendation1 &lt;&gt; """")), filter('Quotes-Check'!E598:F598, 'Quotes-Check'!E598:F598&lt;&gt;""glugluieie""),if(and(QuotesCheckJudge = ""segundo"", QuotesCheckChallengeRecommend"&amp;"ation2 &lt;&gt; """"), filter('Quotes-Check'!I598:J598, 'Quotes-Check'!I598:J598&lt;&gt;""glugluieie""),""""))"),"challenge")</f>
        <v>challenge</v>
      </c>
      <c r="F598" s="22" t="str">
        <f>IFERROR(__xludf.DUMMYFUNCTION("""COMPUTED_VALUE"""),"So it was lectures and labs and like a small project, but it was wasn't really satisfactory.")</f>
        <v>So it was lectures and labs and like a small project, but it was wasn't really satisfactory.</v>
      </c>
      <c r="G598" s="22" t="str">
        <f>if(QuotesCheckJudgeAbstract&lt;&gt;"",QuotesCheckJudgeAbstract,if(or(QuotesCheckJudge="",and(QuotesCheckJudge = "primeiro", QuotesCheckChallengeRecommendation1 &lt;&gt; "")), QuotesCheckAbstract1,if(and(QuotesCheckJudge = "segundo", QuotesCheckChallengeRecommendation2 &lt;&gt; ""), QuotesCheckAbstract2,"")))</f>
        <v>Small project wasn't really satisfactory.</v>
      </c>
    </row>
    <row r="599">
      <c r="A599" s="22">
        <f>IFERROR(__xludf.DUMMYFUNCTION("if(or(QuotesCheckJudge="""",and(QuotesCheckJudge = ""primeiro"", QuotesCheckChallengeRecommendation1 &lt;&gt; """"),and(QuotesCheckJudge = ""segundo"", QuotesCheckChallengeRecommendation2 &lt;&gt; """")), filter('Quotes-Check'!A599:D599, 'Quotes-Check'!A599:D599&lt;&gt;""g"&amp;"lugluieie""),"""")"),14.0)</f>
        <v>14</v>
      </c>
      <c r="B599" s="22">
        <f>IFERROR(__xludf.DUMMYFUNCTION("""COMPUTED_VALUE"""),19.0)</f>
        <v>19</v>
      </c>
      <c r="C599" s="2" t="str">
        <f>IFERROR(__xludf.DUMMYFUNCTION("""COMPUTED_VALUE"""),"R1 / R3")</f>
        <v>R1 / R3</v>
      </c>
      <c r="D599" s="22" t="str">
        <f>IFERROR(__xludf.DUMMYFUNCTION("""COMPUTED_VALUE"""),"Pedagogy")</f>
        <v>Pedagogy</v>
      </c>
      <c r="E599" s="46" t="str">
        <f>IFERROR(__xludf.DUMMYFUNCTION("if(or(QuotesCheckJudge="""",and(QuotesCheckJudge = ""primeiro"", QuotesCheckChallengeRecommendation1 &lt;&gt; """")), filter('Quotes-Check'!E599:F599, 'Quotes-Check'!E599:F599&lt;&gt;""glugluieie""),if(and(QuotesCheckJudge = ""segundo"", QuotesCheckChallengeRecommend"&amp;"ation2 &lt;&gt; """"), filter('Quotes-Check'!I599:J599, 'Quotes-Check'!I599:J599&lt;&gt;""glugluieie""),""""))"),"recommendation")</f>
        <v>recommendation</v>
      </c>
      <c r="F599" s="22" t="str">
        <f>IFERROR(__xludf.DUMMYFUNCTION("""COMPUTED_VALUE""")," And it was selected by 80% of the cohort, which usually an elective course is like 20%. So is it like we had a lot of students inside these insights because they all wanted to learn about devops.")</f>
        <v> And it was selected by 80% of the cohort, which usually an elective course is like 20%. So is it like we had a lot of students inside these insights because they all wanted to learn about devops.</v>
      </c>
      <c r="G599" s="22" t="str">
        <f>if(QuotesCheckJudgeAbstract&lt;&gt;"",QuotesCheckJudgeAbstract,if(or(QuotesCheckJudge="",and(QuotesCheckJudge = "primeiro", QuotesCheckChallengeRecommendation1 &lt;&gt; "")), QuotesCheckAbstract1,if(and(QuotesCheckJudge = "segundo", QuotesCheckChallengeRecommendation2 &lt;&gt; ""), QuotesCheckAbstract2,"")))</f>
        <v>DevOps course as elective course have students that wanted to learn about DevOps.</v>
      </c>
    </row>
    <row r="600">
      <c r="A600" s="22">
        <f>IFERROR(__xludf.DUMMYFUNCTION("if(or(QuotesCheckJudge="""",and(QuotesCheckJudge = ""primeiro"", QuotesCheckChallengeRecommendation1 &lt;&gt; """"),and(QuotesCheckJudge = ""segundo"", QuotesCheckChallengeRecommendation2 &lt;&gt; """")), filter('Quotes-Check'!A600:D600, 'Quotes-Check'!A600:D600&lt;&gt;""g"&amp;"lugluieie""),"""")"),14.0)</f>
        <v>14</v>
      </c>
      <c r="B600" s="22">
        <f>IFERROR(__xludf.DUMMYFUNCTION("""COMPUTED_VALUE"""),20.0)</f>
        <v>20</v>
      </c>
      <c r="C600" s="2" t="str">
        <f>IFERROR(__xludf.DUMMYFUNCTION("""COMPUTED_VALUE"""),"R1 / R3")</f>
        <v>R1 / R3</v>
      </c>
      <c r="D600" s="22" t="str">
        <f>IFERROR(__xludf.DUMMYFUNCTION("""COMPUTED_VALUE"""),"Pedagogy")</f>
        <v>Pedagogy</v>
      </c>
      <c r="E600" s="46" t="str">
        <f>IFERROR(__xludf.DUMMYFUNCTION("if(or(QuotesCheckJudge="""",and(QuotesCheckJudge = ""primeiro"", QuotesCheckChallengeRecommendation1 &lt;&gt; """")), filter('Quotes-Check'!E600:F600, 'Quotes-Check'!E600:F600&lt;&gt;""glugluieie""),if(and(QuotesCheckJudge = ""segundo"", QuotesCheckChallengeRecommend"&amp;"ation2 &lt;&gt; """"), filter('Quotes-Check'!I600:J600, 'Quotes-Check'!I600:J600&lt;&gt;""glugluieie""),""""))"),"recommendation")</f>
        <v>recommendation</v>
      </c>
      <c r="F600" s="22" t="str">
        <f>IFERROR(__xludf.DUMMYFUNCTION("""COMPUTED_VALUE"""),"we decided to go on a problem-based approach. So having like introductory lecture, giving the context, giving the leads to follow, then getting a problem based on, on, uh, like a long-term project for the whole semester.")</f>
        <v>we decided to go on a problem-based approach. So having like introductory lecture, giving the context, giving the leads to follow, then getting a problem based on, on, uh, like a long-term project for the whole semester.</v>
      </c>
      <c r="G600" s="22" t="str">
        <f>if(QuotesCheckJudgeAbstract&lt;&gt;"",QuotesCheckJudgeAbstract,if(or(QuotesCheckJudge="",and(QuotesCheckJudge = "primeiro", QuotesCheckChallengeRecommendation1 &lt;&gt; "")), QuotesCheckAbstract1,if(and(QuotesCheckJudge = "segundo", QuotesCheckChallengeRecommendation2 &lt;&gt; ""), QuotesCheckAbstract2,"")))</f>
        <v>Use problem-based approach on the projects of the students.</v>
      </c>
    </row>
    <row r="601">
      <c r="A601" s="22">
        <f>IFERROR(__xludf.DUMMYFUNCTION("if(or(QuotesCheckJudge="""",and(QuotesCheckJudge = ""primeiro"", QuotesCheckChallengeRecommendation1 &lt;&gt; """"),and(QuotesCheckJudge = ""segundo"", QuotesCheckChallengeRecommendation2 &lt;&gt; """")), filter('Quotes-Check'!A601:D601, 'Quotes-Check'!A601:D601&lt;&gt;""g"&amp;"lugluieie""),"""")"),14.0)</f>
        <v>14</v>
      </c>
      <c r="B601" s="22">
        <f>IFERROR(__xludf.DUMMYFUNCTION("""COMPUTED_VALUE"""),21.0)</f>
        <v>21</v>
      </c>
      <c r="C601" s="2" t="str">
        <f>IFERROR(__xludf.DUMMYFUNCTION("""COMPUTED_VALUE"""),"R1 / R2")</f>
        <v>R1 / R2</v>
      </c>
      <c r="D601" s="22" t="str">
        <f>IFERROR(__xludf.DUMMYFUNCTION("""COMPUTED_VALUE"""),"Assessment")</f>
        <v>Assessment</v>
      </c>
      <c r="E601" s="46" t="str">
        <f>IFERROR(__xludf.DUMMYFUNCTION("if(or(QuotesCheckJudge="""",and(QuotesCheckJudge = ""primeiro"", QuotesCheckChallengeRecommendation1 &lt;&gt; """")), filter('Quotes-Check'!E601:F601, 'Quotes-Check'!E601:F601&lt;&gt;""glugluieie""),if(and(QuotesCheckJudge = ""segundo"", QuotesCheckChallengeRecommend"&amp;"ation2 &lt;&gt; """"), filter('Quotes-Check'!I601:J601, 'Quotes-Check'!I601:J601&lt;&gt;""glugluieie""),""""))"),"recommendation")</f>
        <v>recommendation</v>
      </c>
      <c r="F601" s="22" t="str">
        <f>IFERROR(__xludf.DUMMYFUNCTION("""COMPUTED_VALUE"""),"what we've done was first to, um, continuously evaluate the teams are they were working on the project.")</f>
        <v>what we've done was first to, um, continuously evaluate the teams are they were working on the project.</v>
      </c>
      <c r="G601" s="22" t="str">
        <f>if(QuotesCheckJudgeAbstract&lt;&gt;"",QuotesCheckJudgeAbstract,if(or(QuotesCheckJudge="",and(QuotesCheckJudge = "primeiro", QuotesCheckChallengeRecommendation1 &lt;&gt; "")), QuotesCheckAbstract1,if(and(QuotesCheckJudge = "segundo", QuotesCheckChallengeRecommendation2 &lt;&gt; ""), QuotesCheckAbstract2,"")))</f>
        <v>Make a continuous evaluation of the projects of the students.</v>
      </c>
    </row>
    <row r="602">
      <c r="A602" s="22">
        <f>IFERROR(__xludf.DUMMYFUNCTION("if(or(QuotesCheckJudge="""",and(QuotesCheckJudge = ""primeiro"", QuotesCheckChallengeRecommendation1 &lt;&gt; """"),and(QuotesCheckJudge = ""segundo"", QuotesCheckChallengeRecommendation2 &lt;&gt; """")), filter('Quotes-Check'!A602:D602, 'Quotes-Check'!A602:D602&lt;&gt;""g"&amp;"lugluieie""),"""")"),14.0)</f>
        <v>14</v>
      </c>
      <c r="B602" s="22">
        <f>IFERROR(__xludf.DUMMYFUNCTION("""COMPUTED_VALUE"""),22.0)</f>
        <v>22</v>
      </c>
      <c r="C602" s="2" t="str">
        <f>IFERROR(__xludf.DUMMYFUNCTION("""COMPUTED_VALUE"""),"R2 / R3")</f>
        <v>R2 / R3</v>
      </c>
      <c r="D602" s="22" t="str">
        <f>IFERROR(__xludf.DUMMYFUNCTION("""COMPUTED_VALUE"""),"Assessment")</f>
        <v>Assessment</v>
      </c>
      <c r="E602" s="46" t="str">
        <f>IFERROR(__xludf.DUMMYFUNCTION("if(or(QuotesCheckJudge="""",and(QuotesCheckJudge = ""primeiro"", QuotesCheckChallengeRecommendation1 &lt;&gt; """")), filter('Quotes-Check'!E602:F602, 'Quotes-Check'!E602:F602&lt;&gt;""glugluieie""),if(and(QuotesCheckJudge = ""segundo"", QuotesCheckChallengeRecommend"&amp;"ation2 &lt;&gt; """"), filter('Quotes-Check'!I602:J602, 'Quotes-Check'!I602:J602&lt;&gt;""glugluieie""),""""))"),"recommendation")</f>
        <v>recommendation</v>
      </c>
      <c r="F602" s="22" t="str">
        <f>IFERROR(__xludf.DUMMYFUNCTION("""COMPUTED_VALUE"""),"like theoretical exam point of view, we use the case studies. ... you have three hours explain what you do in this situation. ...  we were really grading half of the description and half of the justification")</f>
        <v>like theoretical exam point of view, we use the case studies. ... you have three hours explain what you do in this situation. ...  we were really grading half of the description and half of the justification</v>
      </c>
      <c r="G602" s="22" t="str">
        <f>if(QuotesCheckJudgeAbstract&lt;&gt;"",QuotesCheckJudgeAbstract,if(or(QuotesCheckJudge="",and(QuotesCheckJudge = "primeiro", QuotesCheckChallengeRecommendation1 &lt;&gt; "")), QuotesCheckAbstract1,if(and(QuotesCheckJudge = "segundo", QuotesCheckChallengeRecommendation2 &lt;&gt; ""), QuotesCheckAbstract2,"")))</f>
        <v>We use the case studies in theoretical exam. Students have three hours to explain what they do in this situation. We were really grading half of the description and half of the justification.</v>
      </c>
    </row>
    <row r="603">
      <c r="A603" s="22">
        <f>IFERROR(__xludf.DUMMYFUNCTION("if(or(QuotesCheckJudge="""",and(QuotesCheckJudge = ""primeiro"", QuotesCheckChallengeRecommendation1 &lt;&gt; """"),and(QuotesCheckJudge = ""segundo"", QuotesCheckChallengeRecommendation2 &lt;&gt; """")), filter('Quotes-Check'!A603:D603, 'Quotes-Check'!A603:D603&lt;&gt;""g"&amp;"lugluieie""),"""")"),14.0)</f>
        <v>14</v>
      </c>
      <c r="B603" s="22">
        <f>IFERROR(__xludf.DUMMYFUNCTION("""COMPUTED_VALUE"""),23.0)</f>
        <v>23</v>
      </c>
      <c r="C603" s="2" t="str">
        <f>IFERROR(__xludf.DUMMYFUNCTION("""COMPUTED_VALUE"""),"R1 / R3")</f>
        <v>R1 / R3</v>
      </c>
      <c r="D603" s="22" t="str">
        <f>IFERROR(__xludf.DUMMYFUNCTION("""COMPUTED_VALUE"""),"Assessment")</f>
        <v>Assessment</v>
      </c>
      <c r="E603" s="46" t="str">
        <f>IFERROR(__xludf.DUMMYFUNCTION("if(or(QuotesCheckJudge="""",and(QuotesCheckJudge = ""primeiro"", QuotesCheckChallengeRecommendation1 &lt;&gt; """")), filter('Quotes-Check'!E603:F603, 'Quotes-Check'!E603:F603&lt;&gt;""glugluieie""),if(and(QuotesCheckJudge = ""segundo"", QuotesCheckChallengeRecommend"&amp;"ation2 &lt;&gt; """"), filter('Quotes-Check'!I603:J603, 'Quotes-Check'!I603:J603&lt;&gt;""glugluieie""),""""))"),"recommendation")</f>
        <v>recommendation</v>
      </c>
      <c r="F603" s="22" t="str">
        <f>IFERROR(__xludf.DUMMYFUNCTION("""COMPUTED_VALUE"""),"he grade scale was half description, half justification, and that's helped a lot, but it's always, um, qualitative in this way.")</f>
        <v>he grade scale was half description, half justification, and that's helped a lot, but it's always, um, qualitative in this way.</v>
      </c>
      <c r="G603" s="22" t="str">
        <f>if(QuotesCheckJudgeAbstract&lt;&gt;"",QuotesCheckJudgeAbstract,if(or(QuotesCheckJudge="",and(QuotesCheckJudge = "primeiro", QuotesCheckChallengeRecommendation1 &lt;&gt; "")), QuotesCheckAbstract1,if(and(QuotesCheckJudge = "segundo", QuotesCheckChallengeRecommendation2 &lt;&gt; ""), QuotesCheckAbstract2,"")))</f>
        <v>It is helpful to use the description and the justification of case studies on qualitative grade scale.</v>
      </c>
    </row>
    <row r="604">
      <c r="A604" s="22">
        <f>IFERROR(__xludf.DUMMYFUNCTION("if(or(QuotesCheckJudge="""",and(QuotesCheckJudge = ""primeiro"", QuotesCheckChallengeRecommendation1 &lt;&gt; """"),and(QuotesCheckJudge = ""segundo"", QuotesCheckChallengeRecommendation2 &lt;&gt; """")), filter('Quotes-Check'!A604:D604, 'Quotes-Check'!A604:D604&lt;&gt;""g"&amp;"lugluieie""),"""")"),14.0)</f>
        <v>14</v>
      </c>
      <c r="B604" s="22">
        <f>IFERROR(__xludf.DUMMYFUNCTION("""COMPUTED_VALUE"""),23.0)</f>
        <v>23</v>
      </c>
      <c r="C604" s="2" t="str">
        <f>IFERROR(__xludf.DUMMYFUNCTION("""COMPUTED_VALUE"""),"R1 / R3")</f>
        <v>R1 / R3</v>
      </c>
      <c r="D604" s="22" t="str">
        <f>IFERROR(__xludf.DUMMYFUNCTION("""COMPUTED_VALUE"""),"Assessment")</f>
        <v>Assessment</v>
      </c>
      <c r="E604" s="46" t="str">
        <f>IFERROR(__xludf.DUMMYFUNCTION("if(or(QuotesCheckJudge="""",and(QuotesCheckJudge = ""primeiro"", QuotesCheckChallengeRecommendation1 &lt;&gt; """")), filter('Quotes-Check'!E604:F604, 'Quotes-Check'!E604:F604&lt;&gt;""glugluieie""),if(and(QuotesCheckJudge = ""segundo"", QuotesCheckChallengeRecommend"&amp;"ation2 &lt;&gt; """"), filter('Quotes-Check'!I604:J604, 'Quotes-Check'!I604:J604&lt;&gt;""glugluieie""),""""))"),"challenge")</f>
        <v>challenge</v>
      </c>
      <c r="F604" s="22" t="str">
        <f>IFERROR(__xludf.DUMMYFUNCTION("""COMPUTED_VALUE"""),"he grade scale was half description, half justification, and that's helped a lot, but it's always, um, qualitative in this way. It's, it's, it's really difficult to be quantitative and to have this, uh, uh, grade scale that is by the, uh, by the point. ")</f>
        <v>he grade scale was half description, half justification, and that's helped a lot, but it's always, um, qualitative in this way. It's, it's, it's really difficult to be quantitative and to have this, uh, uh, grade scale that is by the, uh, by the point. </v>
      </c>
      <c r="G604" s="22" t="str">
        <f>if(QuotesCheckJudgeAbstract&lt;&gt;"",QuotesCheckJudgeAbstract,if(or(QuotesCheckJudge="",and(QuotesCheckJudge = "primeiro", QuotesCheckChallengeRecommendation1 &lt;&gt; "")), QuotesCheckAbstract1,if(and(QuotesCheckJudge = "segundo", QuotesCheckChallengeRecommendation2 &lt;&gt; ""), QuotesCheckAbstract2,"")))</f>
        <v>It is really difficult to quantitative grade scale on the description and the justification of case studies.</v>
      </c>
    </row>
    <row r="605">
      <c r="A605" s="22">
        <f>IFERROR(__xludf.DUMMYFUNCTION("if(or(QuotesCheckJudge="""",and(QuotesCheckJudge = ""primeiro"", QuotesCheckChallengeRecommendation1 &lt;&gt; """"),and(QuotesCheckJudge = ""segundo"", QuotesCheckChallengeRecommendation2 &lt;&gt; """")), filter('Quotes-Check'!A605:D605, 'Quotes-Check'!A605:D605&lt;&gt;""g"&amp;"lugluieie""),"""")"),14.0)</f>
        <v>14</v>
      </c>
      <c r="B605" s="22">
        <f>IFERROR(__xludf.DUMMYFUNCTION("""COMPUTED_VALUE"""),23.0)</f>
        <v>23</v>
      </c>
      <c r="C605" s="2" t="str">
        <f>IFERROR(__xludf.DUMMYFUNCTION("""COMPUTED_VALUE"""),"R1 / R3")</f>
        <v>R1 / R3</v>
      </c>
      <c r="D605" s="22" t="str">
        <f>IFERROR(__xludf.DUMMYFUNCTION("""COMPUTED_VALUE"""),"Assessment")</f>
        <v>Assessment</v>
      </c>
      <c r="E605" s="46" t="str">
        <f>IFERROR(__xludf.DUMMYFUNCTION("if(or(QuotesCheckJudge="""",and(QuotesCheckJudge = ""primeiro"", QuotesCheckChallengeRecommendation1 &lt;&gt; """")), filter('Quotes-Check'!E605:F605, 'Quotes-Check'!E605:F605&lt;&gt;""glugluieie""),if(and(QuotesCheckJudge = ""segundo"", QuotesCheckChallengeRecommend"&amp;"ation2 &lt;&gt; """"), filter('Quotes-Check'!I605:J605, 'Quotes-Check'!I605:J605&lt;&gt;""glugluieie""),""""))"),"recommendation")</f>
        <v>recommendation</v>
      </c>
      <c r="F605" s="22" t="str">
        <f>IFERROR(__xludf.DUMMYFUNCTION("""COMPUTED_VALUE""")," what we've done in this case was to let the TA grade the projects, um, because then it was way more simple. And as the two props, we were, uh, grading the exams and were like cross validating.")</f>
        <v> what we've done in this case was to let the TA grade the projects, um, because then it was way more simple. And as the two props, we were, uh, grading the exams and were like cross validating.</v>
      </c>
      <c r="G605" s="22" t="str">
        <f>if(QuotesCheckJudgeAbstract&lt;&gt;"",QuotesCheckJudgeAbstract,if(or(QuotesCheckJudge="",and(QuotesCheckJudge = "primeiro", QuotesCheckChallengeRecommendation1 &lt;&gt; "")), QuotesCheckAbstract1,if(and(QuotesCheckJudge = "segundo", QuotesCheckChallengeRecommendation2 &lt;&gt; ""), QuotesCheckAbstract2,"")))</f>
        <v>Teacher assistants grade the projects and the professors grade the exams with cross validating.</v>
      </c>
    </row>
    <row r="606">
      <c r="A606" s="22">
        <f>IFERROR(__xludf.DUMMYFUNCTION("if(or(QuotesCheckJudge="""",and(QuotesCheckJudge = ""primeiro"", QuotesCheckChallengeRecommendation1 &lt;&gt; """"),and(QuotesCheckJudge = ""segundo"", QuotesCheckChallengeRecommendation2 &lt;&gt; """")), filter('Quotes-Check'!A606:D606, 'Quotes-Check'!A606:D606&lt;&gt;""g"&amp;"lugluieie""),"""")"),14.0)</f>
        <v>14</v>
      </c>
      <c r="B606" s="22">
        <f>IFERROR(__xludf.DUMMYFUNCTION("""COMPUTED_VALUE"""),24.0)</f>
        <v>24</v>
      </c>
      <c r="C606" s="2" t="str">
        <f>IFERROR(__xludf.DUMMYFUNCTION("""COMPUTED_VALUE"""),"R1 / R3")</f>
        <v>R1 / R3</v>
      </c>
      <c r="D606" s="22" t="str">
        <f>IFERROR(__xludf.DUMMYFUNCTION("""COMPUTED_VALUE"""),"Curriculum")</f>
        <v>Curriculum</v>
      </c>
      <c r="E606" s="46" t="str">
        <f>IFERROR(__xludf.DUMMYFUNCTION("if(or(QuotesCheckJudge="""",and(QuotesCheckJudge = ""primeiro"", QuotesCheckChallengeRecommendation1 &lt;&gt; """")), filter('Quotes-Check'!E606:F606, 'Quotes-Check'!E606:F606&lt;&gt;""glugluieie""),if(and(QuotesCheckJudge = ""segundo"", QuotesCheckChallengeRecommend"&amp;"ation2 &lt;&gt; """"), filter('Quotes-Check'!I606:J606, 'Quotes-Check'!I606:J606&lt;&gt;""glugluieie""),""""))"),"recommendation")</f>
        <v>recommendation</v>
      </c>
      <c r="F606" s="22" t="str">
        <f>IFERROR(__xludf.DUMMYFUNCTION("""COMPUTED_VALUE"""),"The course about, uh, software architecture and DevOps, or we're talking about a different way of architecting software, um, mainly distributed system, because it was easier for the DevOps parts who were triggered challenges was a distributed system.  ..."&amp;" And they had one, one lecture in the morning lecture slash lab and one lecture slash lab in the afternoon. And they were really like Friday was dedicated to DevOps slash uh, architecture.
")</f>
        <v>The course about, uh, software architecture and DevOps, or we're talking about a different way of architecting software, um, mainly distributed system, because it was easier for the DevOps parts who were triggered challenges was a distributed system.  ... And they had one, one lecture in the morning lecture slash lab and one lecture slash lab in the afternoon. And they were really like Friday was dedicated to DevOps slash uh, architecture.
</v>
      </c>
      <c r="G606" s="22" t="str">
        <f>if(QuotesCheckJudgeAbstract&lt;&gt;"",QuotesCheckJudgeAbstract,if(or(QuotesCheckJudge="",and(QuotesCheckJudge = "primeiro", QuotesCheckChallengeRecommendation1 &lt;&gt; "")), QuotesCheckAbstract1,if(and(QuotesCheckJudge = "segundo", QuotesCheckChallengeRecommendation2 &lt;&gt; ""), QuotesCheckAbstract2,"")))</f>
        <v>The courses of software architecture and DevOps taught in the same day.</v>
      </c>
    </row>
    <row r="607">
      <c r="A607" s="22">
        <f>IFERROR(__xludf.DUMMYFUNCTION("if(or(QuotesCheckJudge="""",and(QuotesCheckJudge = ""primeiro"", QuotesCheckChallengeRecommendation1 &lt;&gt; """"),and(QuotesCheckJudge = ""segundo"", QuotesCheckChallengeRecommendation2 &lt;&gt; """")), filter('Quotes-Check'!A607:D607, 'Quotes-Check'!A607:D607&lt;&gt;""g"&amp;"lugluieie""),"""")"),14.0)</f>
        <v>14</v>
      </c>
      <c r="B607" s="22">
        <f>IFERROR(__xludf.DUMMYFUNCTION("""COMPUTED_VALUE"""),25.0)</f>
        <v>25</v>
      </c>
      <c r="C607" s="2" t="str">
        <f>IFERROR(__xludf.DUMMYFUNCTION("""COMPUTED_VALUE"""),"R1 / R3")</f>
        <v>R1 / R3</v>
      </c>
      <c r="D607" s="22" t="str">
        <f>IFERROR(__xludf.DUMMYFUNCTION("""COMPUTED_VALUE"""),"Other Challenge and Recommendation")</f>
        <v>Other Challenge and Recommendation</v>
      </c>
      <c r="E607" s="46" t="str">
        <f>IFERROR(__xludf.DUMMYFUNCTION("if(or(QuotesCheckJudge="""",and(QuotesCheckJudge = ""primeiro"", QuotesCheckChallengeRecommendation1 &lt;&gt; """")), filter('Quotes-Check'!E607:F607, 'Quotes-Check'!E607:F607&lt;&gt;""glugluieie""),if(and(QuotesCheckJudge = ""segundo"", QuotesCheckChallengeRecommend"&amp;"ation2 &lt;&gt; """"), filter('Quotes-Check'!I607:J607, 'Quotes-Check'!I607:J607&lt;&gt;""glugluieie""),""""))"),"challenge")</f>
        <v>challenge</v>
      </c>
      <c r="F607" s="22" t="str">
        <f>IFERROR(__xludf.DUMMYFUNCTION("""COMPUTED_VALUE"""),"an undergrad program, it's also something complicated because it's teaching at the undergrad program might make sense, but then it's other kinds of challenges like younger students who might not be interested in this")</f>
        <v>an undergrad program, it's also something complicated because it's teaching at the undergrad program might make sense, but then it's other kinds of challenges like younger students who might not be interested in this</v>
      </c>
      <c r="G607" s="22" t="str">
        <f>if(QuotesCheckJudgeAbstract&lt;&gt;"",QuotesCheckJudgeAbstract,if(or(QuotesCheckJudge="",and(QuotesCheckJudge = "primeiro", QuotesCheckChallengeRecommendation1 &lt;&gt; "")), QuotesCheckAbstract1,if(and(QuotesCheckJudge = "segundo", QuotesCheckChallengeRecommendation2 &lt;&gt; ""), QuotesCheckAbstract2,"")))</f>
        <v>Undergraduate students can have no interest in DevOps.</v>
      </c>
    </row>
    <row r="608">
      <c r="A608" s="22">
        <f>IFERROR(__xludf.DUMMYFUNCTION("if(or(QuotesCheckJudge="""",and(QuotesCheckJudge = ""primeiro"", QuotesCheckChallengeRecommendation1 &lt;&gt; """"),and(QuotesCheckJudge = ""segundo"", QuotesCheckChallengeRecommendation2 &lt;&gt; """")), filter('Quotes-Check'!A608:D608, 'Quotes-Check'!A608:D608&lt;&gt;""g"&amp;"lugluieie""),"""")"),14.0)</f>
        <v>14</v>
      </c>
      <c r="B608" s="22">
        <f>IFERROR(__xludf.DUMMYFUNCTION("""COMPUTED_VALUE"""),25.0)</f>
        <v>25</v>
      </c>
      <c r="C608" s="2" t="str">
        <f>IFERROR(__xludf.DUMMYFUNCTION("""COMPUTED_VALUE"""),"R1 / R3")</f>
        <v>R1 / R3</v>
      </c>
      <c r="D608" s="22" t="str">
        <f>IFERROR(__xludf.DUMMYFUNCTION("""COMPUTED_VALUE"""),"Other Challenge and Recommendation")</f>
        <v>Other Challenge and Recommendation</v>
      </c>
      <c r="E608" s="46" t="str">
        <f>IFERROR(__xludf.DUMMYFUNCTION("if(or(QuotesCheckJudge="""",and(QuotesCheckJudge = ""primeiro"", QuotesCheckChallengeRecommendation1 &lt;&gt; """")), filter('Quotes-Check'!E608:F608, 'Quotes-Check'!E608:F608&lt;&gt;""glugluieie""),if(and(QuotesCheckJudge = ""segundo"", QuotesCheckChallengeRecommend"&amp;"ation2 &lt;&gt; """"), filter('Quotes-Check'!I608:J608, 'Quotes-Check'!I608:J608&lt;&gt;""glugluieie""),""""))"),"challenge")</f>
        <v>challenge</v>
      </c>
      <c r="F608" s="22" t="str">
        <f>IFERROR(__xludf.DUMMYFUNCTION("""COMPUTED_VALUE"""),"Like, do you have to go through this course to if you're doing a master or a bachelor in software engineering, is it mandatory to go through DevOps or is it like an option that an optional path that you're following is this kind of, uh, there is no consen"&amp;"sus on, on those kinds of, um, uh, things.")</f>
        <v>Like, do you have to go through this course to if you're doing a master or a bachelor in software engineering, is it mandatory to go through DevOps or is it like an option that an optional path that you're following is this kind of, uh, there is no consensus on, on those kinds of, um, uh, things.</v>
      </c>
      <c r="G608" s="22" t="str">
        <f>if(QuotesCheckJudgeAbstract&lt;&gt;"",QuotesCheckJudgeAbstract,if(or(QuotesCheckJudge="",and(QuotesCheckJudge = "primeiro", QuotesCheckChallengeRecommendation1 &lt;&gt; "")), QuotesCheckAbstract1,if(and(QuotesCheckJudge = "segundo", QuotesCheckChallengeRecommendation2 &lt;&gt; ""), QuotesCheckAbstract2,"")))</f>
        <v>There is no consensus if DevOps course should be mandatory or optional.</v>
      </c>
    </row>
    <row r="609">
      <c r="A609" s="22">
        <f>IFERROR(__xludf.DUMMYFUNCTION("if(or(QuotesCheckJudge="""",and(QuotesCheckJudge = ""primeiro"", QuotesCheckChallengeRecommendation1 &lt;&gt; """"),and(QuotesCheckJudge = ""segundo"", QuotesCheckChallengeRecommendation2 &lt;&gt; """")), filter('Quotes-Check'!A609:D609, 'Quotes-Check'!A609:D609&lt;&gt;""g"&amp;"lugluieie""),"""")"),14.0)</f>
        <v>14</v>
      </c>
      <c r="B609" s="22">
        <f>IFERROR(__xludf.DUMMYFUNCTION("""COMPUTED_VALUE"""),26.0)</f>
        <v>26</v>
      </c>
      <c r="C609" s="2" t="str">
        <f>IFERROR(__xludf.DUMMYFUNCTION("""COMPUTED_VALUE"""),"R1 / R2")</f>
        <v>R1 / R2</v>
      </c>
      <c r="D609" s="22" t="str">
        <f>IFERROR(__xludf.DUMMYFUNCTION("""COMPUTED_VALUE"""),"Other Challenge and Recommendation")</f>
        <v>Other Challenge and Recommendation</v>
      </c>
      <c r="E609" s="46" t="str">
        <f>IFERROR(__xludf.DUMMYFUNCTION("if(or(QuotesCheckJudge="""",and(QuotesCheckJudge = ""primeiro"", QuotesCheckChallengeRecommendation1 &lt;&gt; """")), filter('Quotes-Check'!E609:F609, 'Quotes-Check'!E609:F609&lt;&gt;""glugluieie""),if(and(QuotesCheckJudge = ""segundo"", QuotesCheckChallengeRecommend"&amp;"ation2 &lt;&gt; """"), filter('Quotes-Check'!I609:J609, 'Quotes-Check'!I609:J609&lt;&gt;""glugluieie""),""""))"),"challenge")</f>
        <v>challenge</v>
      </c>
      <c r="F609" s="22" t="str">
        <f>IFERROR(__xludf.DUMMYFUNCTION("""COMPUTED_VALUE""")," if you want to teach devops, it's really difficult to find, uh, supports, like finding a way to understand how it's towards elsewhere. It's really complicated because there's not a lot, of course that grant themselves as DevOps, basically because it's of"&amp;"ten hidden because it's something technical you're not supposed to teach. ")</f>
        <v> if you want to teach devops, it's really difficult to find, uh, supports, like finding a way to understand how it's towards elsewhere. It's really complicated because there's not a lot, of course that grant themselves as DevOps, basically because it's often hidden because it's something technical you're not supposed to teach. </v>
      </c>
      <c r="G609" s="22" t="str">
        <f>if(QuotesCheckJudgeAbstract&lt;&gt;"",QuotesCheckJudgeAbstract,if(or(QuotesCheckJudge="",and(QuotesCheckJudge = "primeiro", QuotesCheckChallengeRecommendation1 &lt;&gt; "")), QuotesCheckAbstract1,if(and(QuotesCheckJudge = "segundo", QuotesCheckChallengeRecommendation2 &lt;&gt; ""), QuotesCheckAbstract2,"")))</f>
        <v>It's really difficult to find supports if you want to teach DevOps.</v>
      </c>
    </row>
  </sheetData>
  <printOptions gridLines="1" horizontalCentered="1"/>
  <pageMargins bottom="0.75" footer="0.0" header="0.0" left="0.7" right="0.7" top="0.75"/>
  <pageSetup fitToHeight="0" paperSize="9" cellComments="atEnd" orientation="landscape" pageOrder="overThenDown"/>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1" max="1" width="16.71"/>
    <col customWidth="1" min="2" max="2" width="14.57"/>
    <col customWidth="1" min="3" max="3" width="17.29"/>
    <col customWidth="1" min="4" max="4" width="14.29"/>
    <col customWidth="1" min="5" max="6" width="24.57"/>
    <col customWidth="1" min="7" max="7" width="58.71"/>
    <col customWidth="1" min="8" max="9" width="57.29"/>
  </cols>
  <sheetData>
    <row r="1">
      <c r="A1" s="47" t="s">
        <v>2789</v>
      </c>
      <c r="B1" s="1" t="s">
        <v>0</v>
      </c>
      <c r="C1" s="1" t="s">
        <v>1</v>
      </c>
      <c r="D1" s="1" t="s">
        <v>1953</v>
      </c>
      <c r="E1" s="1" t="s">
        <v>2</v>
      </c>
      <c r="F1" s="1" t="s">
        <v>3</v>
      </c>
      <c r="G1" s="1" t="s">
        <v>2790</v>
      </c>
      <c r="H1" s="1" t="s">
        <v>5</v>
      </c>
      <c r="I1" s="1" t="s">
        <v>2791</v>
      </c>
    </row>
    <row r="2">
      <c r="A2" s="48" t="s">
        <v>2792</v>
      </c>
      <c r="B2" s="2">
        <f>IFERROR(__xludf.DUMMYFUNCTION("filter('Quotes-Final'!A2:G209, 'Quotes-Final'!E2:E209=""challenge"")"),1.0)</f>
        <v>1</v>
      </c>
      <c r="C2" s="2">
        <f>IFERROR(__xludf.DUMMYFUNCTION("""COMPUTED_VALUE"""),1.0)</f>
        <v>1</v>
      </c>
      <c r="D2" s="2" t="str">
        <f>IFERROR(__xludf.DUMMYFUNCTION("""COMPUTED_VALUE"""),"R1 / R2")</f>
        <v>R1 / R2</v>
      </c>
      <c r="E2" s="2" t="str">
        <f>IFERROR(__xludf.DUMMYFUNCTION("""COMPUTED_VALUE"""),"General Challenges and Recommendations")</f>
        <v>General Challenges and Recommendations</v>
      </c>
      <c r="F2" s="2" t="str">
        <f>IFERROR(__xludf.DUMMYFUNCTION("""COMPUTED_VALUE"""),"challenge")</f>
        <v>challenge</v>
      </c>
      <c r="G2" s="3" t="str">
        <f>IFERROR(__xludf.DUMMYFUNCTION("""COMPUTED_VALUE""")," [...] um problema recorrente, é do nível que os alunos chegam pra você")</f>
        <v> [...] um problema recorrente, é do nível que os alunos chegam pra você</v>
      </c>
      <c r="H2" s="3" t="str">
        <f>IFERROR(__xludf.DUMMYFUNCTION("""COMPUTED_VALUE"""),"Insufficient knowledge level of students to start the course.")</f>
        <v>Insufficient knowledge level of students to start the course.</v>
      </c>
      <c r="I2" s="22" t="s">
        <v>2793</v>
      </c>
    </row>
    <row r="3">
      <c r="A3" s="48" t="s">
        <v>2794</v>
      </c>
      <c r="B3" s="2">
        <f>IFERROR(__xludf.DUMMYFUNCTION("""COMPUTED_VALUE"""),1.0)</f>
        <v>1</v>
      </c>
      <c r="C3" s="2">
        <f>IFERROR(__xludf.DUMMYFUNCTION("""COMPUTED_VALUE"""),1.0)</f>
        <v>1</v>
      </c>
      <c r="D3" s="2" t="str">
        <f>IFERROR(__xludf.DUMMYFUNCTION("""COMPUTED_VALUE"""),"R1 / R2")</f>
        <v>R1 / R2</v>
      </c>
      <c r="E3" s="2" t="str">
        <f>IFERROR(__xludf.DUMMYFUNCTION("""COMPUTED_VALUE"""),"General Challenges and Recommendations")</f>
        <v>General Challenges and Recommendations</v>
      </c>
      <c r="F3" s="2" t="str">
        <f>IFERROR(__xludf.DUMMYFUNCTION("""COMPUTED_VALUE"""),"challenge")</f>
        <v>challenge</v>
      </c>
      <c r="G3" s="3" t="str">
        <f>IFERROR(__xludf.DUMMYFUNCTION("""COMPUTED_VALUE"""),"[...]montar um ambiente pra que você comece, de fato")</f>
        <v>[...]montar um ambiente pra que você comece, de fato</v>
      </c>
      <c r="H3" s="3" t="str">
        <f>IFERROR(__xludf.DUMMYFUNCTION("""COMPUTED_VALUE"""),"Difficulty to configuring and setting up the infrastructure needed to run DevOps experiments.")</f>
        <v>Difficulty to configuring and setting up the infrastructure needed to run DevOps experiments.</v>
      </c>
      <c r="I3" s="22" t="s">
        <v>2795</v>
      </c>
    </row>
    <row r="4">
      <c r="A4" s="48" t="s">
        <v>2796</v>
      </c>
      <c r="B4" s="2">
        <f>IFERROR(__xludf.DUMMYFUNCTION("""COMPUTED_VALUE"""),1.0)</f>
        <v>1</v>
      </c>
      <c r="C4" s="12">
        <f>IFERROR(__xludf.DUMMYFUNCTION("""COMPUTED_VALUE"""),2.0)</f>
        <v>2</v>
      </c>
      <c r="D4" s="12" t="str">
        <f>IFERROR(__xludf.DUMMYFUNCTION("""COMPUTED_VALUE"""),"R2 / R3")</f>
        <v>R2 / R3</v>
      </c>
      <c r="E4" s="12" t="str">
        <f>IFERROR(__xludf.DUMMYFUNCTION("""COMPUTED_VALUE"""),"General Challenges and Recommendations")</f>
        <v>General Challenges and Recommendations</v>
      </c>
      <c r="F4" s="12" t="str">
        <f>IFERROR(__xludf.DUMMYFUNCTION("""COMPUTED_VALUE"""),"challenge")</f>
        <v>challenge</v>
      </c>
      <c r="G4" s="3" t="str">
        <f>IFERROR(__xludf.DUMMYFUNCTION("""COMPUTED_VALUE"""),"[...]muitas vezes, o professor, ele precisaria de recursos computacionais pra poder abordar certos conteúdos. [...]montar cenários que fossem próximos do reais.")</f>
        <v>[...]muitas vezes, o professor, ele precisaria de recursos computacionais pra poder abordar certos conteúdos. [...]montar cenários que fossem próximos do reais.</v>
      </c>
      <c r="H4" s="3" t="str">
        <f>IFERROR(__xludf.DUMMYFUNCTION("""COMPUTED_VALUE"""),"Few computational resources for setting up scenarios close to real ones.")</f>
        <v>Few computational resources for setting up scenarios close to real ones.</v>
      </c>
      <c r="I4" s="22" t="s">
        <v>2797</v>
      </c>
    </row>
    <row r="5">
      <c r="A5" s="48" t="s">
        <v>2798</v>
      </c>
      <c r="B5" s="2">
        <f>IFERROR(__xludf.DUMMYFUNCTION("""COMPUTED_VALUE"""),1.0)</f>
        <v>1</v>
      </c>
      <c r="C5" s="2">
        <f>IFERROR(__xludf.DUMMYFUNCTION("""COMPUTED_VALUE"""),3.0)</f>
        <v>3</v>
      </c>
      <c r="D5" s="2" t="str">
        <f>IFERROR(__xludf.DUMMYFUNCTION("""COMPUTED_VALUE"""),"R1 / R3")</f>
        <v>R1 / R3</v>
      </c>
      <c r="E5" s="2" t="str">
        <f>IFERROR(__xludf.DUMMYFUNCTION("""COMPUTED_VALUE"""),"General Challenges and Recommendations")</f>
        <v>General Challenges and Recommendations</v>
      </c>
      <c r="F5" s="2" t="str">
        <f>IFERROR(__xludf.DUMMYFUNCTION("""COMPUTED_VALUE"""),"challenge")</f>
        <v>challenge</v>
      </c>
      <c r="G5" s="3" t="str">
        <f>IFERROR(__xludf.DUMMYFUNCTION("""COMPUTED_VALUE"""),"[...] muitas vezes, você não tem acesso aos recursos computacionais pra montar cenários que realmente você consiga ministrar laboratórios ou ou fazer, ali, laboratórios pra que os alunos aprendam")</f>
        <v>[...] muitas vezes, você não tem acesso aos recursos computacionais pra montar cenários que realmente você consiga ministrar laboratórios ou ou fazer, ali, laboratórios pra que os alunos aprendam</v>
      </c>
      <c r="H5" s="3" t="str">
        <f>IFERROR(__xludf.DUMMYFUNCTION("""COMPUTED_VALUE"""),"Few computational resources for setting up scenarios close to real ones.")</f>
        <v>Few computational resources for setting up scenarios close to real ones.</v>
      </c>
      <c r="I5" s="2" t="s">
        <v>2799</v>
      </c>
    </row>
    <row r="6">
      <c r="A6" s="48" t="s">
        <v>2800</v>
      </c>
      <c r="B6" s="2">
        <f>IFERROR(__xludf.DUMMYFUNCTION("""COMPUTED_VALUE"""),1.0)</f>
        <v>1</v>
      </c>
      <c r="C6" s="2">
        <f>IFERROR(__xludf.DUMMYFUNCTION("""COMPUTED_VALUE"""),3.0)</f>
        <v>3</v>
      </c>
      <c r="D6" s="2" t="str">
        <f>IFERROR(__xludf.DUMMYFUNCTION("""COMPUTED_VALUE"""),"R1 / R3")</f>
        <v>R1 / R3</v>
      </c>
      <c r="E6" s="2" t="str">
        <f>IFERROR(__xludf.DUMMYFUNCTION("""COMPUTED_VALUE"""),"General Challenges and Recommendations")</f>
        <v>General Challenges and Recommendations</v>
      </c>
      <c r="F6" s="2" t="str">
        <f>IFERROR(__xludf.DUMMYFUNCTION("""COMPUTED_VALUE"""),"challenge")</f>
        <v>challenge</v>
      </c>
      <c r="G6" s="3" t="str">
        <f>IFERROR(__xludf.DUMMYFUNCTION("""COMPUTED_VALUE"""),"[...]  Alguns datacenters como o Azure da Microsoft, né? Que o IF tem convênio, ele tem um período limitado ali de testes e precisa de cartão de crédito e coisa desse tipo e às vezes os alunos não tem.")</f>
        <v>[...]  Alguns datacenters como o Azure da Microsoft, né? Que o IF tem convênio, ele tem um período limitado ali de testes e precisa de cartão de crédito e coisa desse tipo e às vezes os alunos não tem.</v>
      </c>
      <c r="H6" s="3" t="str">
        <f>IFERROR(__xludf.DUMMYFUNCTION("""COMPUTED_VALUE"""),"Even though educational partnerships using private cloud providers by students could be limited.")</f>
        <v>Even though educational partnerships using private cloud providers by students could be limited.</v>
      </c>
      <c r="I6" s="22" t="s">
        <v>2801</v>
      </c>
    </row>
    <row r="7">
      <c r="A7" s="48" t="s">
        <v>2802</v>
      </c>
      <c r="B7" s="2">
        <f>IFERROR(__xludf.DUMMYFUNCTION("""COMPUTED_VALUE"""),1.0)</f>
        <v>1</v>
      </c>
      <c r="C7" s="2">
        <f>IFERROR(__xludf.DUMMYFUNCTION("""COMPUTED_VALUE"""),3.0)</f>
        <v>3</v>
      </c>
      <c r="D7" s="2" t="str">
        <f>IFERROR(__xludf.DUMMYFUNCTION("""COMPUTED_VALUE"""),"R1 / R3")</f>
        <v>R1 / R3</v>
      </c>
      <c r="E7" s="2" t="str">
        <f>IFERROR(__xludf.DUMMYFUNCTION("""COMPUTED_VALUE"""),"General Challenges and Recommendations")</f>
        <v>General Challenges and Recommendations</v>
      </c>
      <c r="F7" s="2" t="str">
        <f>IFERROR(__xludf.DUMMYFUNCTION("""COMPUTED_VALUE"""),"challenge")</f>
        <v>challenge</v>
      </c>
      <c r="G7" s="3" t="str">
        <f>IFERROR(__xludf.DUMMYFUNCTION("""COMPUTED_VALUE"""),"Não existe uma conta, tipo, do professor que ele pudesse disponibilizar eh recursos pra o que os alunos aprendam, pra montar esses cenários, né? Nem nem um datacenter local, nem um desses comerciais, muitas vezes não é, não tem todas as possibilidades que"&amp;" você poderia usar, pelo menos não, sem tá vinculado a um convênio ou alguma coisa assim.")</f>
        <v>Não existe uma conta, tipo, do professor que ele pudesse disponibilizar eh recursos pra o que os alunos aprendam, pra montar esses cenários, né? Nem nem um datacenter local, nem um desses comerciais, muitas vezes não é, não tem todas as possibilidades que você poderia usar, pelo menos não, sem tá vinculado a um convênio ou alguma coisa assim.</v>
      </c>
      <c r="H7" s="3" t="str">
        <f>IFERROR(__xludf.DUMMYFUNCTION("""COMPUTED_VALUE"""),"In public clouds, teacher use of student resource management is not widely available.")</f>
        <v>In public clouds, teacher use of student resource management is not widely available.</v>
      </c>
      <c r="I7" s="2" t="s">
        <v>2803</v>
      </c>
    </row>
    <row r="8">
      <c r="A8" s="48" t="s">
        <v>2804</v>
      </c>
      <c r="B8" s="2">
        <f>IFERROR(__xludf.DUMMYFUNCTION("""COMPUTED_VALUE"""),1.0)</f>
        <v>1</v>
      </c>
      <c r="C8" s="2">
        <f>IFERROR(__xludf.DUMMYFUNCTION("""COMPUTED_VALUE"""),6.0)</f>
        <v>6</v>
      </c>
      <c r="D8" s="2" t="str">
        <f>IFERROR(__xludf.DUMMYFUNCTION("""COMPUTED_VALUE"""),"R1 / R3")</f>
        <v>R1 / R3</v>
      </c>
      <c r="E8" s="2" t="str">
        <f>IFERROR(__xludf.DUMMYFUNCTION("""COMPUTED_VALUE"""),"DevOps Concepts")</f>
        <v>DevOps Concepts</v>
      </c>
      <c r="F8" s="2" t="str">
        <f>IFERROR(__xludf.DUMMYFUNCTION("""COMPUTED_VALUE"""),"challenge")</f>
        <v>challenge</v>
      </c>
      <c r="G8" s="3" t="str">
        <f>IFERROR(__xludf.DUMMYFUNCTION("""COMPUTED_VALUE"""),"[...] não existe uma taxonomia muito bem aceita de quais são os conceitos devops")</f>
        <v>[...] não existe uma taxonomia muito bem aceita de quais são os conceitos devops</v>
      </c>
      <c r="H8" s="3" t="str">
        <f>IFERROR(__xludf.DUMMYFUNCTION("""COMPUTED_VALUE"""),"There is no taxonomy about what are the main DevOps concepts.")</f>
        <v>There is no taxonomy about what are the main DevOps concepts.</v>
      </c>
      <c r="I8" s="2" t="s">
        <v>2805</v>
      </c>
    </row>
    <row r="9">
      <c r="A9" s="48" t="s">
        <v>2806</v>
      </c>
      <c r="B9" s="2">
        <f>IFERROR(__xludf.DUMMYFUNCTION("""COMPUTED_VALUE"""),1.0)</f>
        <v>1</v>
      </c>
      <c r="C9" s="2">
        <f>IFERROR(__xludf.DUMMYFUNCTION("""COMPUTED_VALUE"""),10.0)</f>
        <v>10</v>
      </c>
      <c r="D9" s="2" t="str">
        <f>IFERROR(__xludf.DUMMYFUNCTION("""COMPUTED_VALUE"""),"R1 / R2")</f>
        <v>R1 / R2</v>
      </c>
      <c r="E9" s="2" t="str">
        <f>IFERROR(__xludf.DUMMYFUNCTION("""COMPUTED_VALUE"""),"Tool / Technology")</f>
        <v>Tool / Technology</v>
      </c>
      <c r="F9" s="2" t="str">
        <f>IFERROR(__xludf.DUMMYFUNCTION("""COMPUTED_VALUE"""),"challenge")</f>
        <v>challenge</v>
      </c>
      <c r="G9" s="3" t="str">
        <f>IFERROR(__xludf.DUMMYFUNCTION("""COMPUTED_VALUE"""),"[...] não conheço nenhuma ferramenta específica de pra ensino de devops")</f>
        <v>[...] não conheço nenhuma ferramenta específica de pra ensino de devops</v>
      </c>
      <c r="H9" s="3" t="str">
        <f>IFERROR(__xludf.DUMMYFUNCTION("""COMPUTED_VALUE"""),"Unknown specific devops educational supportive environment.")</f>
        <v>Unknown specific devops educational supportive environment.</v>
      </c>
      <c r="I9" s="2" t="s">
        <v>2807</v>
      </c>
    </row>
    <row r="10">
      <c r="A10" s="48" t="s">
        <v>2808</v>
      </c>
      <c r="B10" s="2">
        <f>IFERROR(__xludf.DUMMYFUNCTION("""COMPUTED_VALUE"""),1.0)</f>
        <v>1</v>
      </c>
      <c r="C10" s="2">
        <f>IFERROR(__xludf.DUMMYFUNCTION("""COMPUTED_VALUE"""),13.0)</f>
        <v>13</v>
      </c>
      <c r="D10" s="2" t="str">
        <f>IFERROR(__xludf.DUMMYFUNCTION("""COMPUTED_VALUE"""),"R1 / R2")</f>
        <v>R1 / R2</v>
      </c>
      <c r="E10" s="2" t="str">
        <f>IFERROR(__xludf.DUMMYFUNCTION("""COMPUTED_VALUE"""),"Curriculum")</f>
        <v>Curriculum</v>
      </c>
      <c r="F10" s="2" t="str">
        <f>IFERROR(__xludf.DUMMYFUNCTION("""COMPUTED_VALUE"""),"challenge")</f>
        <v>challenge</v>
      </c>
      <c r="G10" s="3" t="str">
        <f>IFERROR(__xludf.DUMMYFUNCTION("""COMPUTED_VALUE""")," A gente quer, às vezes, ensinar tudo e a gente não tem tempo infinito[...] fazer caber o conhecimento de DevOps, que é um conhecimento bem amplo e que envolve, pelo menos, duas áreas distintas[...]")</f>
        <v> A gente quer, às vezes, ensinar tudo e a gente não tem tempo infinito[...] fazer caber o conhecimento de DevOps, que é um conhecimento bem amplo e que envolve, pelo menos, duas áreas distintas[...]</v>
      </c>
      <c r="H10" s="3" t="str">
        <f>IFERROR(__xludf.DUMMYFUNCTION("""COMPUTED_VALUE"""),"Insufficient time to address extensive DevOps knowledge in a limited-hour curriculum.")</f>
        <v>Insufficient time to address extensive DevOps knowledge in a limited-hour curriculum.</v>
      </c>
      <c r="I10" s="2" t="s">
        <v>2809</v>
      </c>
    </row>
    <row r="11">
      <c r="A11" s="48" t="s">
        <v>2810</v>
      </c>
      <c r="B11" s="2">
        <f>IFERROR(__xludf.DUMMYFUNCTION("""COMPUTED_VALUE"""),1.0)</f>
        <v>1</v>
      </c>
      <c r="C11" s="2">
        <f>IFERROR(__xludf.DUMMYFUNCTION("""COMPUTED_VALUE"""),14.0)</f>
        <v>14</v>
      </c>
      <c r="D11" s="2" t="str">
        <f>IFERROR(__xludf.DUMMYFUNCTION("""COMPUTED_VALUE"""),"R2 / R3")</f>
        <v>R2 / R3</v>
      </c>
      <c r="E11" s="2" t="str">
        <f>IFERROR(__xludf.DUMMYFUNCTION("""COMPUTED_VALUE"""),"Curriculum")</f>
        <v>Curriculum</v>
      </c>
      <c r="F11" s="2" t="str">
        <f>IFERROR(__xludf.DUMMYFUNCTION("""COMPUTED_VALUE"""),"challenge")</f>
        <v>challenge</v>
      </c>
      <c r="G11" s="3" t="str">
        <f>IFERROR(__xludf.DUMMYFUNCTION("""COMPUTED_VALUE"""),"[...]fazer caber foi mais difícil porque às vezes o conteúdo é muito extenso e o tempo é limitado.")</f>
        <v>[...]fazer caber foi mais difícil porque às vezes o conteúdo é muito extenso e o tempo é limitado.</v>
      </c>
      <c r="H11" s="3" t="str">
        <f>IFERROR(__xludf.DUMMYFUNCTION("""COMPUTED_VALUE"""),"Insufficient time to address extensive DevOps knowledge in a limited-hour curriculum.")</f>
        <v>Insufficient time to address extensive DevOps knowledge in a limited-hour curriculum.</v>
      </c>
      <c r="I11" s="2" t="s">
        <v>2811</v>
      </c>
    </row>
    <row r="12">
      <c r="A12" s="48" t="s">
        <v>2812</v>
      </c>
      <c r="B12" s="2">
        <f>IFERROR(__xludf.DUMMYFUNCTION("""COMPUTED_VALUE"""),1.0)</f>
        <v>1</v>
      </c>
      <c r="C12" s="12">
        <f>IFERROR(__xludf.DUMMYFUNCTION("""COMPUTED_VALUE"""),16.0)</f>
        <v>16</v>
      </c>
      <c r="D12" s="2" t="str">
        <f>IFERROR(__xludf.DUMMYFUNCTION("""COMPUTED_VALUE"""),"R1 / R2")</f>
        <v>R1 / R2</v>
      </c>
      <c r="E12" s="12" t="str">
        <f>IFERROR(__xludf.DUMMYFUNCTION("""COMPUTED_VALUE"""),"Environment Setup")</f>
        <v>Environment Setup</v>
      </c>
      <c r="F12" s="2" t="str">
        <f>IFERROR(__xludf.DUMMYFUNCTION("""COMPUTED_VALUE"""),"challenge")</f>
        <v>challenge</v>
      </c>
      <c r="G12" s="3" t="str">
        <f>IFERROR(__xludf.DUMMYFUNCTION("""COMPUTED_VALUE"""),"não consegui montar um ambiente de devops por [...] restrições [...] de autorização [...] da reitoria")</f>
        <v>não consegui montar um ambiente de devops por [...] restrições [...] de autorização [...] da reitoria</v>
      </c>
      <c r="H12" s="3" t="str">
        <f>IFERROR(__xludf.DUMMYFUNCTION("""COMPUTED_VALUE"""),"Difficulty in getting authorization and lab resources from the institution to install tools in order to setup a DevOps environment.")</f>
        <v>Difficulty in getting authorization and lab resources from the institution to install tools in order to setup a DevOps environment.</v>
      </c>
      <c r="I12" s="2" t="s">
        <v>2813</v>
      </c>
    </row>
    <row r="13">
      <c r="A13" s="48" t="s">
        <v>2814</v>
      </c>
      <c r="B13" s="2">
        <f>IFERROR(__xludf.DUMMYFUNCTION("""COMPUTED_VALUE"""),1.0)</f>
        <v>1</v>
      </c>
      <c r="C13" s="2">
        <f>IFERROR(__xludf.DUMMYFUNCTION("""COMPUTED_VALUE"""),16.0)</f>
        <v>16</v>
      </c>
      <c r="D13" s="2" t="str">
        <f>IFERROR(__xludf.DUMMYFUNCTION("""COMPUTED_VALUE"""),"R1 / R2")</f>
        <v>R1 / R2</v>
      </c>
      <c r="E13" s="2" t="str">
        <f>IFERROR(__xludf.DUMMYFUNCTION("""COMPUTED_VALUE"""),"Environment Setup")</f>
        <v>Environment Setup</v>
      </c>
      <c r="F13" s="2" t="str">
        <f>IFERROR(__xludf.DUMMYFUNCTION("""COMPUTED_VALUE"""),"challenge")</f>
        <v>challenge</v>
      </c>
      <c r="G13" s="3" t="str">
        <f>IFERROR(__xludf.DUMMYFUNCTION("""COMPUTED_VALUE"""),"não existia aí uma ferramenta de de configuração de ambiente [...] ou de automatizado desses ambientes [..] uma vez que passou a ser manual")</f>
        <v>não existia aí uma ferramenta de de configuração de ambiente [...] ou de automatizado desses ambientes [..] uma vez que passou a ser manual</v>
      </c>
      <c r="H13" s="3" t="str">
        <f>IFERROR(__xludf.DUMMYFUNCTION("""COMPUTED_VALUE"""),"There was no automated environment setup tool to support the student.")</f>
        <v>There was no automated environment setup tool to support the student.</v>
      </c>
      <c r="I13" s="2" t="s">
        <v>2815</v>
      </c>
    </row>
    <row r="14">
      <c r="A14" s="48" t="s">
        <v>2816</v>
      </c>
      <c r="B14" s="2">
        <f>IFERROR(__xludf.DUMMYFUNCTION("""COMPUTED_VALUE"""),1.0)</f>
        <v>1</v>
      </c>
      <c r="C14" s="2">
        <f>IFERROR(__xludf.DUMMYFUNCTION("""COMPUTED_VALUE"""),16.0)</f>
        <v>16</v>
      </c>
      <c r="D14" s="2" t="str">
        <f>IFERROR(__xludf.DUMMYFUNCTION("""COMPUTED_VALUE"""),"R1 / R2")</f>
        <v>R1 / R2</v>
      </c>
      <c r="E14" s="2" t="str">
        <f>IFERROR(__xludf.DUMMYFUNCTION("""COMPUTED_VALUE"""),"Environment Setup")</f>
        <v>Environment Setup</v>
      </c>
      <c r="F14" s="2" t="str">
        <f>IFERROR(__xludf.DUMMYFUNCTION("""COMPUTED_VALUE"""),"challenge")</f>
        <v>challenge</v>
      </c>
      <c r="G14" s="3" t="str">
        <f>IFERROR(__xludf.DUMMYFUNCTION("""COMPUTED_VALUE"""),"não existia [...] um conjunto [...] de roteiros que o aluno deveria configurar ele mesmo esse ambiente, instalar ele mesmo a ferramenta [...] seja [...] os servidores que ele precisasse")</f>
        <v>não existia [...] um conjunto [...] de roteiros que o aluno deveria configurar ele mesmo esse ambiente, instalar ele mesmo a ferramenta [...] seja [...] os servidores que ele precisasse</v>
      </c>
      <c r="H14" s="3" t="str">
        <f>IFERROR(__xludf.DUMMYFUNCTION("""COMPUTED_VALUE"""),"There was no script for the student on how to install the tools used during the course.")</f>
        <v>There was no script for the student on how to install the tools used during the course.</v>
      </c>
      <c r="I14" s="2" t="s">
        <v>2817</v>
      </c>
    </row>
    <row r="15">
      <c r="A15" s="48" t="s">
        <v>2818</v>
      </c>
      <c r="B15" s="2">
        <f>IFERROR(__xludf.DUMMYFUNCTION("""COMPUTED_VALUE"""),1.0)</f>
        <v>1</v>
      </c>
      <c r="C15" s="2">
        <f>IFERROR(__xludf.DUMMYFUNCTION("""COMPUTED_VALUE"""),17.0)</f>
        <v>17</v>
      </c>
      <c r="D15" s="2" t="str">
        <f>IFERROR(__xludf.DUMMYFUNCTION("""COMPUTED_VALUE"""),"R2 / R3")</f>
        <v>R2 / R3</v>
      </c>
      <c r="E15" s="2" t="str">
        <f>IFERROR(__xludf.DUMMYFUNCTION("""COMPUTED_VALUE"""),"Environment Setup")</f>
        <v>Environment Setup</v>
      </c>
      <c r="F15" s="2" t="str">
        <f>IFERROR(__xludf.DUMMYFUNCTION("""COMPUTED_VALUE"""),"challenge")</f>
        <v>challenge</v>
      </c>
      <c r="G15" s="3" t="str">
        <f>IFERROR(__xludf.DUMMYFUNCTION("""COMPUTED_VALUE"""),"Tive dificuldade de montar a infraestrutura.")</f>
        <v>Tive dificuldade de montar a infraestrutura.</v>
      </c>
      <c r="H15" s="3" t="str">
        <f>IFERROR(__xludf.DUMMYFUNCTION("""COMPUTED_VALUE"""),"Difficulty in setting up the infrastructure.")</f>
        <v>Difficulty in setting up the infrastructure.</v>
      </c>
      <c r="I15" s="2" t="s">
        <v>2819</v>
      </c>
    </row>
    <row r="16">
      <c r="A16" s="48" t="s">
        <v>2820</v>
      </c>
      <c r="B16" s="2">
        <f>IFERROR(__xludf.DUMMYFUNCTION("""COMPUTED_VALUE"""),2.0)</f>
        <v>2</v>
      </c>
      <c r="C16" s="12">
        <f>IFERROR(__xludf.DUMMYFUNCTION("""COMPUTED_VALUE"""),1.0)</f>
        <v>1</v>
      </c>
      <c r="D16" s="2" t="str">
        <f>IFERROR(__xludf.DUMMYFUNCTION("""COMPUTED_VALUE"""),"R1 / R2")</f>
        <v>R1 / R2</v>
      </c>
      <c r="E16" s="12" t="str">
        <f>IFERROR(__xludf.DUMMYFUNCTION("""COMPUTED_VALUE"""),"DevOps Concepts")</f>
        <v>DevOps Concepts</v>
      </c>
      <c r="F16" s="2" t="str">
        <f>IFERROR(__xludf.DUMMYFUNCTION("""COMPUTED_VALUE"""),"challenge")</f>
        <v>challenge</v>
      </c>
      <c r="G16" s="3" t="str">
        <f>IFERROR(__xludf.DUMMYFUNCTION("""COMPUTED_VALUE"""),"Não há uma literatura dessa na área de sistemas corporativos, aí acaba que a gente realmente faz uma reunião de diversos vídeos, mas não tem um assim que a gente use como foco, como sendo essa espinha dorsal. Eu particularmente tenho essa abordagem [...] "&amp;"eu queria muito que tivesse uma literatura nesse nível [...]")</f>
        <v>Não há uma literatura dessa na área de sistemas corporativos, aí acaba que a gente realmente faz uma reunião de diversos vídeos, mas não tem um assim que a gente use como foco, como sendo essa espinha dorsal. Eu particularmente tenho essa abordagem [...] eu queria muito que tivesse uma literatura nesse nível [...]</v>
      </c>
      <c r="H16" s="3" t="str">
        <f>IFERROR(__xludf.DUMMYFUNCTION("""COMPUTED_VALUE"""),"Literature in the area of ​​enterprise systems related to DevOps is insufficient.")</f>
        <v>Literature in the area of ​​enterprise systems related to DevOps is insufficient.</v>
      </c>
      <c r="I16" s="2" t="s">
        <v>2821</v>
      </c>
    </row>
    <row r="17">
      <c r="A17" s="48" t="s">
        <v>2822</v>
      </c>
      <c r="B17" s="2">
        <f>IFERROR(__xludf.DUMMYFUNCTION("""COMPUTED_VALUE"""),2.0)</f>
        <v>2</v>
      </c>
      <c r="C17" s="2">
        <f>IFERROR(__xludf.DUMMYFUNCTION("""COMPUTED_VALUE"""),3.0)</f>
        <v>3</v>
      </c>
      <c r="D17" s="2" t="str">
        <f>IFERROR(__xludf.DUMMYFUNCTION("""COMPUTED_VALUE"""),"R1 / R3")</f>
        <v>R1 / R3</v>
      </c>
      <c r="E17" s="2" t="str">
        <f>IFERROR(__xludf.DUMMYFUNCTION("""COMPUTED_VALUE"""),"Pedagogy")</f>
        <v>Pedagogy</v>
      </c>
      <c r="F17" s="2" t="str">
        <f>IFERROR(__xludf.DUMMYFUNCTION("""COMPUTED_VALUE"""),"challenge")</f>
        <v>challenge</v>
      </c>
      <c r="G17" s="3" t="str">
        <f>IFERROR(__xludf.DUMMYFUNCTION("""COMPUTED_VALUE"""),"Depois que tiver no ar, como é que você consegue monitorar e dar e talvez ter um feedback do cliente, talvez coisas pra melhorar, o monitoramento propriamente do sistema, essa parte aí é um desafio, realmente, você conseguir mostrar para o aluno e talvez,"&amp;" fazer com que ele encare isso de uma perspectiva mais profissional, porque já imaginando que ele vai pro mercado e vai se deparar, com essas, muitas situações aí.")</f>
        <v>Depois que tiver no ar, como é que você consegue monitorar e dar e talvez ter um feedback do cliente, talvez coisas pra melhorar, o monitoramento propriamente do sistema, essa parte aí é um desafio, realmente, você conseguir mostrar para o aluno e talvez, fazer com que ele encare isso de uma perspectiva mais profissional, porque já imaginando que ele vai pro mercado e vai se deparar, com essas, muitas situações aí.</v>
      </c>
      <c r="H17" s="3" t="str">
        <f>IFERROR(__xludf.DUMMYFUNCTION("""COMPUTED_VALUE"""),"It is difficult to make the student face teaching scenarios with a more professional perspective, with production-level monitoring.")</f>
        <v>It is difficult to make the student face teaching scenarios with a more professional perspective, with production-level monitoring.</v>
      </c>
      <c r="I17" s="2" t="s">
        <v>2823</v>
      </c>
    </row>
    <row r="18">
      <c r="A18" s="48" t="s">
        <v>2824</v>
      </c>
      <c r="B18" s="2">
        <f>IFERROR(__xludf.DUMMYFUNCTION("""COMPUTED_VALUE"""),2.0)</f>
        <v>2</v>
      </c>
      <c r="C18" s="2">
        <f>IFERROR(__xludf.DUMMYFUNCTION("""COMPUTED_VALUE"""),4.0)</f>
        <v>4</v>
      </c>
      <c r="D18" s="2" t="str">
        <f>IFERROR(__xludf.DUMMYFUNCTION("""COMPUTED_VALUE"""),"R1 / R2")</f>
        <v>R1 / R2</v>
      </c>
      <c r="E18" s="2" t="str">
        <f>IFERROR(__xludf.DUMMYFUNCTION("""COMPUTED_VALUE"""),"Pedagogy")</f>
        <v>Pedagogy</v>
      </c>
      <c r="F18" s="2" t="str">
        <f>IFERROR(__xludf.DUMMYFUNCTION("""COMPUTED_VALUE"""),"challenge")</f>
        <v>challenge</v>
      </c>
      <c r="G18" s="3" t="str">
        <f>IFERROR(__xludf.DUMMYFUNCTION("""COMPUTED_VALUE"""),"O desafio aí de fazer os alunos verem essa abordagem aí da operacionalização, colocar o sistema lá no ar, manter esse sistema, adicionar as novas funcionalidades e não quebrar o sistema")</f>
        <v>O desafio aí de fazer os alunos verem essa abordagem aí da operacionalização, colocar o sistema lá no ar, manter esse sistema, adicionar as novas funcionalidades e não quebrar o sistema</v>
      </c>
      <c r="H18" s="3" t="str">
        <f>IFERROR(__xludf.DUMMYFUNCTION("""COMPUTED_VALUE"""),"Difficulty in teaching the student how to operate the system, allowing the addition of new features without breaking the system.")</f>
        <v>Difficulty in teaching the student how to operate the system, allowing the addition of new features without breaking the system.</v>
      </c>
      <c r="I18" s="2" t="s">
        <v>2825</v>
      </c>
    </row>
    <row r="19">
      <c r="A19" s="48" t="s">
        <v>2826</v>
      </c>
      <c r="B19" s="2">
        <f>IFERROR(__xludf.DUMMYFUNCTION("""COMPUTED_VALUE"""),2.0)</f>
        <v>2</v>
      </c>
      <c r="C19" s="2">
        <f>IFERROR(__xludf.DUMMYFUNCTION("""COMPUTED_VALUE"""),6.0)</f>
        <v>6</v>
      </c>
      <c r="D19" s="2" t="str">
        <f>IFERROR(__xludf.DUMMYFUNCTION("""COMPUTED_VALUE"""),"R1 / R3")</f>
        <v>R1 / R3</v>
      </c>
      <c r="E19" s="2" t="str">
        <f>IFERROR(__xludf.DUMMYFUNCTION("""COMPUTED_VALUE"""),"Assessment")</f>
        <v>Assessment</v>
      </c>
      <c r="F19" s="2" t="str">
        <f>IFERROR(__xludf.DUMMYFUNCTION("""COMPUTED_VALUE"""),"challenge")</f>
        <v>challenge</v>
      </c>
      <c r="G19" s="3" t="str">
        <f>IFERROR(__xludf.DUMMYFUNCTION("""COMPUTED_VALUE"""),"Como é que a gente consegue ver se o aluno está por dentro do conceito de entrega contínua, que é um dos conceitos que a gente aborda")</f>
        <v>Como é que a gente consegue ver se o aluno está por dentro do conceito de entrega contínua, que é um dos conceitos que a gente aborda</v>
      </c>
      <c r="H19" s="3" t="str">
        <f>IFERROR(__xludf.DUMMYFUNCTION("""COMPUTED_VALUE"""),"Difficulty in assessing students' understanding of Continuous Delivery.")</f>
        <v>Difficulty in assessing students' understanding of Continuous Delivery.</v>
      </c>
      <c r="I19" s="2" t="s">
        <v>2827</v>
      </c>
    </row>
    <row r="20">
      <c r="A20" s="48" t="s">
        <v>2828</v>
      </c>
      <c r="B20" s="2">
        <f>IFERROR(__xludf.DUMMYFUNCTION("""COMPUTED_VALUE"""),2.0)</f>
        <v>2</v>
      </c>
      <c r="C20" s="2">
        <f>IFERROR(__xludf.DUMMYFUNCTION("""COMPUTED_VALUE"""),7.0)</f>
        <v>7</v>
      </c>
      <c r="D20" s="2" t="str">
        <f>IFERROR(__xludf.DUMMYFUNCTION("""COMPUTED_VALUE"""),"R1 / R2")</f>
        <v>R1 / R2</v>
      </c>
      <c r="E20" s="2" t="str">
        <f>IFERROR(__xludf.DUMMYFUNCTION("""COMPUTED_VALUE"""),"Tool / Technology")</f>
        <v>Tool / Technology</v>
      </c>
      <c r="F20" s="2" t="str">
        <f>IFERROR(__xludf.DUMMYFUNCTION("""COMPUTED_VALUE"""),"challenge")</f>
        <v>challenge</v>
      </c>
      <c r="G20" s="3" t="str">
        <f>IFERROR(__xludf.DUMMYFUNCTION("""COMPUTED_VALUE"""),"É mais esse contato inicial que parece que assusta eles um pouco mais, faz com que eles vão pra outras, quando eles chegam")</f>
        <v>É mais esse contato inicial que parece que assusta eles um pouco mais, faz com que eles vão pra outras, quando eles chegam</v>
      </c>
      <c r="H20" s="3" t="str">
        <f>IFERROR(__xludf.DUMMYFUNCTION("""COMPUTED_VALUE"""),"The environment adopted by instructors can frighten students by making them migrate to other tools.")</f>
        <v>The environment adopted by instructors can frighten students by making them migrate to other tools.</v>
      </c>
      <c r="I20" s="2" t="s">
        <v>2829</v>
      </c>
    </row>
    <row r="21">
      <c r="A21" s="48" t="s">
        <v>2830</v>
      </c>
      <c r="B21" s="2">
        <f>IFERROR(__xludf.DUMMYFUNCTION("""COMPUTED_VALUE"""),2.0)</f>
        <v>2</v>
      </c>
      <c r="C21" s="2">
        <f>IFERROR(__xludf.DUMMYFUNCTION("""COMPUTED_VALUE"""),7.0)</f>
        <v>7</v>
      </c>
      <c r="D21" s="2" t="str">
        <f>IFERROR(__xludf.DUMMYFUNCTION("""COMPUTED_VALUE"""),"R1 / R2")</f>
        <v>R1 / R2</v>
      </c>
      <c r="E21" s="2" t="str">
        <f>IFERROR(__xludf.DUMMYFUNCTION("""COMPUTED_VALUE"""),"Tool / Technology")</f>
        <v>Tool / Technology</v>
      </c>
      <c r="F21" s="2" t="str">
        <f>IFERROR(__xludf.DUMMYFUNCTION("""COMPUTED_VALUE"""),"challenge")</f>
        <v>challenge</v>
      </c>
      <c r="G21" s="3" t="str">
        <f>IFERROR(__xludf.DUMMYFUNCTION("""COMPUTED_VALUE"""),"o docker, [...] para utilizar, eles normalmente têm uma dificuldade maior nesse tema, no início.")</f>
        <v>o docker, [...] para utilizar, eles normalmente têm uma dificuldade maior nesse tema, no início.</v>
      </c>
      <c r="H21" s="3" t="str">
        <f>IFERROR(__xludf.DUMMYFUNCTION("""COMPUTED_VALUE"""),"Initial difficulty using the Docker container tool.")</f>
        <v>Initial difficulty using the Docker container tool.</v>
      </c>
      <c r="I21" s="2" t="s">
        <v>2831</v>
      </c>
    </row>
    <row r="22">
      <c r="A22" s="48" t="s">
        <v>2832</v>
      </c>
      <c r="B22" s="2">
        <f>IFERROR(__xludf.DUMMYFUNCTION("""COMPUTED_VALUE"""),2.0)</f>
        <v>2</v>
      </c>
      <c r="C22" s="2">
        <f>IFERROR(__xludf.DUMMYFUNCTION("""COMPUTED_VALUE"""),7.0)</f>
        <v>7</v>
      </c>
      <c r="D22" s="2" t="str">
        <f>IFERROR(__xludf.DUMMYFUNCTION("""COMPUTED_VALUE"""),"R1 / R2")</f>
        <v>R1 / R2</v>
      </c>
      <c r="E22" s="2" t="str">
        <f>IFERROR(__xludf.DUMMYFUNCTION("""COMPUTED_VALUE"""),"Tool / Technology")</f>
        <v>Tool / Technology</v>
      </c>
      <c r="F22" s="2" t="str">
        <f>IFERROR(__xludf.DUMMYFUNCTION("""COMPUTED_VALUE"""),"challenge")</f>
        <v>challenge</v>
      </c>
      <c r="G22" s="3" t="str">
        <f>IFERROR(__xludf.DUMMYFUNCTION("""COMPUTED_VALUE"""),"a parte realmente de colocar inicial tem esse choque de essa realidade aí dos alunos em que eles tem que sair de uma ferramenta que eles já estão lá com o sistema rodando e trazê-la para a nossa ferramenta.")</f>
        <v>a parte realmente de colocar inicial tem esse choque de essa realidade aí dos alunos em que eles tem que sair de uma ferramenta que eles já estão lá com o sistema rodando e trazê-la para a nossa ferramenta.</v>
      </c>
      <c r="H22" s="3" t="str">
        <f>IFERROR(__xludf.DUMMYFUNCTION("""COMPUTED_VALUE"""),"Students' initial difficult at having to switch from tools in which their applications were already working to the one adopted by the instructor.")</f>
        <v>Students' initial difficult at having to switch from tools in which their applications were already working to the one adopted by the instructor.</v>
      </c>
      <c r="I22" s="2" t="s">
        <v>2833</v>
      </c>
    </row>
    <row r="23">
      <c r="A23" s="48" t="s">
        <v>2834</v>
      </c>
      <c r="B23" s="2">
        <f>IFERROR(__xludf.DUMMYFUNCTION("""COMPUTED_VALUE"""),2.0)</f>
        <v>2</v>
      </c>
      <c r="C23" s="2">
        <f>IFERROR(__xludf.DUMMYFUNCTION("""COMPUTED_VALUE"""),8.0)</f>
        <v>8</v>
      </c>
      <c r="D23" s="2" t="str">
        <f>IFERROR(__xludf.DUMMYFUNCTION("""COMPUTED_VALUE"""),"R2 / R3")</f>
        <v>R2 / R3</v>
      </c>
      <c r="E23" s="2" t="str">
        <f>IFERROR(__xludf.DUMMYFUNCTION("""COMPUTED_VALUE"""),"Environment Setup")</f>
        <v>Environment Setup</v>
      </c>
      <c r="F23" s="2" t="str">
        <f>IFERROR(__xludf.DUMMYFUNCTION("""COMPUTED_VALUE"""),"challenge")</f>
        <v>challenge</v>
      </c>
      <c r="G23" s="3" t="str">
        <f>IFERROR(__xludf.DUMMYFUNCTION("""COMPUTED_VALUE"""),"um desafio que é convencer os alunos de dar importância a isso... eles tenham essa outra visão, desse aspecto da configuração do ambiente.")</f>
        <v>um desafio que é convencer os alunos de dar importância a isso... eles tenham essa outra visão, desse aspecto da configuração do ambiente.</v>
      </c>
      <c r="H23" s="3" t="str">
        <f>IFERROR(__xludf.DUMMYFUNCTION("""COMPUTED_VALUE"""),"The student has difficulty realizing the importance of setting the environment.")</f>
        <v>The student has difficulty realizing the importance of setting the environment.</v>
      </c>
      <c r="I23" s="2" t="s">
        <v>2835</v>
      </c>
    </row>
    <row r="24">
      <c r="A24" s="48" t="s">
        <v>2836</v>
      </c>
      <c r="B24" s="2">
        <f>IFERROR(__xludf.DUMMYFUNCTION("""COMPUTED_VALUE"""),2.0)</f>
        <v>2</v>
      </c>
      <c r="C24" s="22">
        <f>IFERROR(__xludf.DUMMYFUNCTION("""COMPUTED_VALUE"""),8.0)</f>
        <v>8</v>
      </c>
      <c r="D24" s="22" t="str">
        <f>IFERROR(__xludf.DUMMYFUNCTION("""COMPUTED_VALUE"""),"R2 / R3")</f>
        <v>R2 / R3</v>
      </c>
      <c r="E24" s="49" t="str">
        <f>IFERROR(__xludf.DUMMYFUNCTION("""COMPUTED_VALUE"""),"Environment Setup")</f>
        <v>Environment Setup</v>
      </c>
      <c r="F24" s="28" t="str">
        <f>IFERROR(__xludf.DUMMYFUNCTION("""COMPUTED_VALUE"""),"challenge")</f>
        <v>challenge</v>
      </c>
      <c r="G24" s="3" t="str">
        <f>IFERROR(__xludf.DUMMYFUNCTION("""COMPUTED_VALUE"""),"[...]quando eles chegam, muitos utilizam um outro ambiente[...] eles colocam o sistema lá e não tem que se preocupar muito com outros detalhes[...]A gente, realmente, solicita que eles façam essa migração para que eles tenham essa outra visão, desse aspec"&amp;"to da configuração do ambiente. Colocar ele em produção e manter com esse nosso sistema funcionando.[...] eu acho que pode ser encarado isso como um desafio, que é convencer os alunos de dar importância a isso, a importância deles conhecerem esses aspecto"&amp;"s também, não deixar isso tão transparente assim pra eles também.")</f>
        <v>[...]quando eles chegam, muitos utilizam um outro ambiente[...] eles colocam o sistema lá e não tem que se preocupar muito com outros detalhes[...]A gente, realmente, solicita que eles façam essa migração para que eles tenham essa outra visão, desse aspecto da configuração do ambiente. Colocar ele em produção e manter com esse nosso sistema funcionando.[...] eu acho que pode ser encarado isso como um desafio, que é convencer os alunos de dar importância a isso, a importância deles conhecerem esses aspectos também, não deixar isso tão transparente assim pra eles também.</v>
      </c>
      <c r="H24" s="3" t="str">
        <f>IFERROR(__xludf.DUMMYFUNCTION("""COMPUTED_VALUE"""),"Difficulty in making clear to students the importance of having a more realistic perspective of production.")</f>
        <v>Difficulty in making clear to students the importance of having a more realistic perspective of production.</v>
      </c>
      <c r="I24" s="2" t="s">
        <v>2837</v>
      </c>
    </row>
    <row r="25">
      <c r="A25" s="48" t="s">
        <v>2838</v>
      </c>
      <c r="B25" s="2">
        <f>IFERROR(__xludf.DUMMYFUNCTION("""COMPUTED_VALUE"""),2.0)</f>
        <v>2</v>
      </c>
      <c r="C25" s="22">
        <f>IFERROR(__xludf.DUMMYFUNCTION("""COMPUTED_VALUE"""),9.0)</f>
        <v>9</v>
      </c>
      <c r="D25" s="22" t="str">
        <f>IFERROR(__xludf.DUMMYFUNCTION("""COMPUTED_VALUE"""),"R1 / R3")</f>
        <v>R1 / R3</v>
      </c>
      <c r="E25" s="49" t="str">
        <f>IFERROR(__xludf.DUMMYFUNCTION("""COMPUTED_VALUE"""),"Class Preparation")</f>
        <v>Class Preparation</v>
      </c>
      <c r="F25" s="28" t="str">
        <f>IFERROR(__xludf.DUMMYFUNCTION("""COMPUTED_VALUE"""),"challenge")</f>
        <v>challenge</v>
      </c>
      <c r="G25" s="3" t="str">
        <f>IFERROR(__xludf.DUMMYFUNCTION("""COMPUTED_VALUE"""),"uma editora parceira, inclusive, da diretoria, que trouxe um catálogo de livros para gente dar uma olhada e eu fui atrás, inclusive de um livro no tema, né? De sistemas corporativos, né, dessa parte de DevOps, e simplesmente, eu não encontrei no catálogo.")</f>
        <v>uma editora parceira, inclusive, da diretoria, que trouxe um catálogo de livros para gente dar uma olhada e eu fui atrás, inclusive de um livro no tema, né? De sistemas corporativos, né, dessa parte de DevOps, e simplesmente, eu não encontrei no catálogo.</v>
      </c>
      <c r="H25" s="3" t="str">
        <f>IFERROR(__xludf.DUMMYFUNCTION("""COMPUTED_VALUE"""),"Literature in the area of ​​enterprise systems related to DevOps is insufficient.")</f>
        <v>Literature in the area of ​​enterprise systems related to DevOps is insufficient.</v>
      </c>
      <c r="I25" s="2" t="s">
        <v>2839</v>
      </c>
    </row>
    <row r="26">
      <c r="A26" s="48" t="s">
        <v>2840</v>
      </c>
      <c r="B26" s="2">
        <f>IFERROR(__xludf.DUMMYFUNCTION("""COMPUTED_VALUE"""),2.0)</f>
        <v>2</v>
      </c>
      <c r="C26" s="2">
        <f>IFERROR(__xludf.DUMMYFUNCTION("""COMPUTED_VALUE"""),10.0)</f>
        <v>10</v>
      </c>
      <c r="D26" s="2" t="str">
        <f>IFERROR(__xludf.DUMMYFUNCTION("""COMPUTED_VALUE"""),"R1 / R2")</f>
        <v>R1 / R2</v>
      </c>
      <c r="E26" s="2" t="str">
        <f>IFERROR(__xludf.DUMMYFUNCTION("""COMPUTED_VALUE"""),"DevOps Concepts")</f>
        <v>DevOps Concepts</v>
      </c>
      <c r="F26" s="2" t="str">
        <f>IFERROR(__xludf.DUMMYFUNCTION("""COMPUTED_VALUE"""),"challenge")</f>
        <v>challenge</v>
      </c>
      <c r="G26" s="3" t="str">
        <f>IFERROR(__xludf.DUMMYFUNCTION("""COMPUTED_VALUE"""),"o conceito de entrega contínua [...] O difícil é pôr em prática [...] quando eles, em equipe, precisam lançar uma determinada funcionalidade e fazer com que ela não quebre o sistema")</f>
        <v>o conceito de entrega contínua [...] O difícil é pôr em prática [...] quando eles, em equipe, precisam lançar uma determinada funcionalidade e fazer com que ela não quebre o sistema</v>
      </c>
      <c r="H26" s="3" t="str">
        <f>IFERROR(__xludf.DUMMYFUNCTION("""COMPUTED_VALUE"""),"Difficulty for students to practice the concept of Continuous Delivery when it is necessary to add new features to the system without the build breaking.")</f>
        <v>Difficulty for students to practice the concept of Continuous Delivery when it is necessary to add new features to the system without the build breaking.</v>
      </c>
      <c r="I26" s="2" t="s">
        <v>2841</v>
      </c>
    </row>
    <row r="27">
      <c r="A27" s="48" t="s">
        <v>2842</v>
      </c>
      <c r="B27" s="2">
        <f>IFERROR(__xludf.DUMMYFUNCTION("""COMPUTED_VALUE"""),2.0)</f>
        <v>2</v>
      </c>
      <c r="C27" s="2">
        <f>IFERROR(__xludf.DUMMYFUNCTION("""COMPUTED_VALUE"""),14.0)</f>
        <v>14</v>
      </c>
      <c r="D27" s="2" t="str">
        <f>IFERROR(__xludf.DUMMYFUNCTION("""COMPUTED_VALUE"""),"R2 / R3")</f>
        <v>R2 / R3</v>
      </c>
      <c r="E27" s="2" t="str">
        <f>IFERROR(__xludf.DUMMYFUNCTION("""COMPUTED_VALUE"""),"Class Preparation")</f>
        <v>Class Preparation</v>
      </c>
      <c r="F27" s="2" t="str">
        <f>IFERROR(__xludf.DUMMYFUNCTION("""COMPUTED_VALUE"""),"challenge")</f>
        <v>challenge</v>
      </c>
      <c r="G27" s="3" t="str">
        <f>IFERROR(__xludf.DUMMYFUNCTION("""COMPUTED_VALUE""")," os desafios que eu posso citar é justamente essa parte aí de você conseguir demonstrar, né, demonstrar pra eles toda essa esse nosso ferramental.")</f>
        <v> os desafios que eu posso citar é justamente essa parte aí de você conseguir demonstrar, né, demonstrar pra eles toda essa esse nosso ferramental.</v>
      </c>
      <c r="H27" s="3" t="str">
        <f>IFERROR(__xludf.DUMMYFUNCTION("""COMPUTED_VALUE"""),"There are many tools for working with DevOps.")</f>
        <v>There are many tools for working with DevOps.</v>
      </c>
      <c r="I27" s="2" t="s">
        <v>2843</v>
      </c>
    </row>
    <row r="28">
      <c r="A28" s="48" t="s">
        <v>2844</v>
      </c>
      <c r="B28" s="2">
        <f>IFERROR(__xludf.DUMMYFUNCTION("""COMPUTED_VALUE"""),2.0)</f>
        <v>2</v>
      </c>
      <c r="C28" s="22">
        <f>IFERROR(__xludf.DUMMYFUNCTION("""COMPUTED_VALUE"""),14.0)</f>
        <v>14</v>
      </c>
      <c r="D28" s="22" t="str">
        <f>IFERROR(__xludf.DUMMYFUNCTION("""COMPUTED_VALUE"""),"R2 / R3")</f>
        <v>R2 / R3</v>
      </c>
      <c r="E28" s="49" t="str">
        <f>IFERROR(__xludf.DUMMYFUNCTION("""COMPUTED_VALUE"""),"Class Preparation")</f>
        <v>Class Preparation</v>
      </c>
      <c r="F28" s="22" t="str">
        <f>IFERROR(__xludf.DUMMYFUNCTION("""COMPUTED_VALUE"""),"challenge")</f>
        <v>challenge</v>
      </c>
      <c r="G28" s="3" t="str">
        <f>IFERROR(__xludf.DUMMYFUNCTION("""COMPUTED_VALUE"""),"[...]acho que é um desafio também, nesse sentido de você conseguir associar o conteúdo da aula com a essa visão, assim, teórica, com os exemplos daquilo que envolve na prática deles.")</f>
        <v>[...]acho que é um desafio também, nesse sentido de você conseguir associar o conteúdo da aula com a essa visão, assim, teórica, com os exemplos daquilo que envolve na prática deles.</v>
      </c>
      <c r="H28" s="3" t="str">
        <f>IFERROR(__xludf.DUMMYFUNCTION("""COMPUTED_VALUE"""),"Difficulty in making the association between theory and practice.")</f>
        <v>Difficulty in making the association between theory and practice.</v>
      </c>
      <c r="I28" s="2" t="s">
        <v>2845</v>
      </c>
    </row>
    <row r="29">
      <c r="A29" s="48" t="s">
        <v>2846</v>
      </c>
      <c r="B29" s="2">
        <f>IFERROR(__xludf.DUMMYFUNCTION("""COMPUTED_VALUE"""),2.0)</f>
        <v>2</v>
      </c>
      <c r="C29" s="22">
        <f>IFERROR(__xludf.DUMMYFUNCTION("""COMPUTED_VALUE"""),16.0)</f>
        <v>16</v>
      </c>
      <c r="D29" s="22" t="str">
        <f>IFERROR(__xludf.DUMMYFUNCTION("""COMPUTED_VALUE"""),"R1 / R2")</f>
        <v>R1 / R2</v>
      </c>
      <c r="E29" s="49" t="str">
        <f>IFERROR(__xludf.DUMMYFUNCTION("""COMPUTED_VALUE"""),"Pedagogy")</f>
        <v>Pedagogy</v>
      </c>
      <c r="F29" s="22" t="str">
        <f>IFERROR(__xludf.DUMMYFUNCTION("""COMPUTED_VALUE"""),"challenge")</f>
        <v>challenge</v>
      </c>
      <c r="G29" s="3" t="str">
        <f>IFERROR(__xludf.DUMMYFUNCTION("""COMPUTED_VALUE"""),"Dificuldade maior mesmo, que eu posso ressaltar, é justamente a estruturação, realmente, talvez da sequência das aulas por não ter esse material que que norteia,")</f>
        <v>Dificuldade maior mesmo, que eu posso ressaltar, é justamente a estruturação, realmente, talvez da sequência das aulas por não ter esse material que que norteia,</v>
      </c>
      <c r="H29" s="3" t="str">
        <f>IFERROR(__xludf.DUMMYFUNCTION("""COMPUTED_VALUE"""),"Difficulty in structuring classes due to lack of reference material.")</f>
        <v>Difficulty in structuring classes due to lack of reference material.</v>
      </c>
      <c r="I29" s="2" t="s">
        <v>2847</v>
      </c>
    </row>
    <row r="30">
      <c r="A30" s="48" t="s">
        <v>2848</v>
      </c>
      <c r="B30" s="2">
        <f>IFERROR(__xludf.DUMMYFUNCTION("""COMPUTED_VALUE"""),3.0)</f>
        <v>3</v>
      </c>
      <c r="C30" s="2">
        <f>IFERROR(__xludf.DUMMYFUNCTION("""COMPUTED_VALUE"""),2.0)</f>
        <v>2</v>
      </c>
      <c r="D30" s="2" t="str">
        <f>IFERROR(__xludf.DUMMYFUNCTION("""COMPUTED_VALUE"""),"R2 / R3")</f>
        <v>R2 / R3</v>
      </c>
      <c r="E30" s="2" t="str">
        <f>IFERROR(__xludf.DUMMYFUNCTION("""COMPUTED_VALUE"""),"Environment Setup")</f>
        <v>Environment Setup</v>
      </c>
      <c r="F30" s="2" t="str">
        <f>IFERROR(__xludf.DUMMYFUNCTION("""COMPUTED_VALUE"""),"challenge")</f>
        <v>challenge</v>
      </c>
      <c r="G30" s="3" t="str">
        <f>IFERROR(__xludf.DUMMYFUNCTION("""COMPUTED_VALUE"""),"O principal desafio é que, em geral, as ferramentas relacionadas com DevOps são sistemas baseados em nuvem[...]")</f>
        <v>O principal desafio é que, em geral, as ferramentas relacionadas com DevOps são sistemas baseados em nuvem[...]</v>
      </c>
      <c r="H30" s="3" t="str">
        <f>IFERROR(__xludf.DUMMYFUNCTION("""COMPUTED_VALUE"""),"Many DevOps tools are cloud based.")</f>
        <v>Many DevOps tools are cloud based.</v>
      </c>
      <c r="I30" s="2" t="s">
        <v>2849</v>
      </c>
    </row>
    <row r="31">
      <c r="A31" s="48" t="s">
        <v>2850</v>
      </c>
      <c r="B31" s="2">
        <f>IFERROR(__xludf.DUMMYFUNCTION("""COMPUTED_VALUE"""),3.0)</f>
        <v>3</v>
      </c>
      <c r="C31" s="2">
        <f>IFERROR(__xludf.DUMMYFUNCTION("""COMPUTED_VALUE"""),3.0)</f>
        <v>3</v>
      </c>
      <c r="D31" s="2" t="str">
        <f>IFERROR(__xludf.DUMMYFUNCTION("""COMPUTED_VALUE"""),"R1 / R3")</f>
        <v>R1 / R3</v>
      </c>
      <c r="E31" s="2" t="str">
        <f>IFERROR(__xludf.DUMMYFUNCTION("""COMPUTED_VALUE"""),"DevOps Concepts")</f>
        <v>DevOps Concepts</v>
      </c>
      <c r="F31" s="2" t="str">
        <f>IFERROR(__xludf.DUMMYFUNCTION("""COMPUTED_VALUE"""),"challenge")</f>
        <v>challenge</v>
      </c>
      <c r="G31" s="3" t="str">
        <f>IFERROR(__xludf.DUMMYFUNCTION("""COMPUTED_VALUE"""),"o principal desafio é conseguir passar corretamente aos alunos a ideia de que DevOps trata-se de uma cultura")</f>
        <v>o principal desafio é conseguir passar corretamente aos alunos a ideia de que DevOps trata-se de uma cultura</v>
      </c>
      <c r="H31" s="3" t="str">
        <f>IFERROR(__xludf.DUMMYFUNCTION("""COMPUTED_VALUE"""),"Difficulty to teach the DevOps culture.")</f>
        <v>Difficulty to teach the DevOps culture.</v>
      </c>
      <c r="I31" s="2" t="s">
        <v>2851</v>
      </c>
    </row>
    <row r="32">
      <c r="A32" s="48" t="s">
        <v>2852</v>
      </c>
      <c r="B32" s="2">
        <f>IFERROR(__xludf.DUMMYFUNCTION("""COMPUTED_VALUE"""),3.0)</f>
        <v>3</v>
      </c>
      <c r="C32" s="2">
        <f>IFERROR(__xludf.DUMMYFUNCTION("""COMPUTED_VALUE"""),3.0)</f>
        <v>3</v>
      </c>
      <c r="D32" s="2" t="str">
        <f>IFERROR(__xludf.DUMMYFUNCTION("""COMPUTED_VALUE"""),"R1 / R3")</f>
        <v>R1 / R3</v>
      </c>
      <c r="E32" s="2" t="str">
        <f>IFERROR(__xludf.DUMMYFUNCTION("""COMPUTED_VALUE"""),"DevOps Concepts")</f>
        <v>DevOps Concepts</v>
      </c>
      <c r="F32" s="2" t="str">
        <f>IFERROR(__xludf.DUMMYFUNCTION("""COMPUTED_VALUE"""),"challenge")</f>
        <v>challenge</v>
      </c>
      <c r="G32" s="2" t="str">
        <f>IFERROR(__xludf.DUMMYFUNCTION("""COMPUTED_VALUE"""),"o aluno espera [...] aprender aquela ferramenta matadora, que ajudará no contexto prático da vida dele, seja em processo de desenvolvimento, segurança ou operações.  [...] quer conhecer as ferramentas muito mais do que entender a cultura DevOps.")</f>
        <v>o aluno espera [...] aprender aquela ferramenta matadora, que ajudará no contexto prático da vida dele, seja em processo de desenvolvimento, segurança ou operações.  [...] quer conhecer as ferramentas muito mais do que entender a cultura DevOps.</v>
      </c>
      <c r="H32" s="2" t="str">
        <f>IFERROR(__xludf.DUMMYFUNCTION("""COMPUTED_VALUE"""),"Students have a prior concept that DevOps is restricted to the use of tools, not being interested in the cultural part of DevOps.")</f>
        <v>Students have a prior concept that DevOps is restricted to the use of tools, not being interested in the cultural part of DevOps.</v>
      </c>
      <c r="I32" s="2" t="s">
        <v>2853</v>
      </c>
    </row>
    <row r="33">
      <c r="A33" s="48" t="s">
        <v>2854</v>
      </c>
      <c r="B33" s="2">
        <f>IFERROR(__xludf.DUMMYFUNCTION("""COMPUTED_VALUE"""),3.0)</f>
        <v>3</v>
      </c>
      <c r="C33" s="2">
        <f>IFERROR(__xludf.DUMMYFUNCTION("""COMPUTED_VALUE"""),5.0)</f>
        <v>5</v>
      </c>
      <c r="D33" s="2" t="str">
        <f>IFERROR(__xludf.DUMMYFUNCTION("""COMPUTED_VALUE"""),"R1 / R3")</f>
        <v>R1 / R3</v>
      </c>
      <c r="E33" s="2" t="str">
        <f>IFERROR(__xludf.DUMMYFUNCTION("""COMPUTED_VALUE"""),"Class Preparation")</f>
        <v>Class Preparation</v>
      </c>
      <c r="F33" s="2" t="str">
        <f>IFERROR(__xludf.DUMMYFUNCTION("""COMPUTED_VALUE"""),"challenge")</f>
        <v>challenge</v>
      </c>
      <c r="G33" s="3" t="str">
        <f>IFERROR(__xludf.DUMMYFUNCTION("""COMPUTED_VALUE"""),"em geral você tem um um range grande de soluções, você tem um ecossistema muito grande de possibilidades de como testar ou demonstrar um conceito")</f>
        <v>em geral você tem um um range grande de soluções, você tem um ecossistema muito grande de possibilidades de como testar ou demonstrar um conceito</v>
      </c>
      <c r="H33" s="3" t="str">
        <f>IFERROR(__xludf.DUMMYFUNCTION("""COMPUTED_VALUE"""),"Many DevOps tools and usability available.")</f>
        <v>Many DevOps tools and usability available.</v>
      </c>
      <c r="I33" s="2" t="s">
        <v>2855</v>
      </c>
    </row>
    <row r="34">
      <c r="A34" s="48" t="s">
        <v>2856</v>
      </c>
      <c r="B34" s="2">
        <f>IFERROR(__xludf.DUMMYFUNCTION("""COMPUTED_VALUE"""),3.0)</f>
        <v>3</v>
      </c>
      <c r="C34" s="2">
        <f>IFERROR(__xludf.DUMMYFUNCTION("""COMPUTED_VALUE"""),5.0)</f>
        <v>5</v>
      </c>
      <c r="D34" s="2" t="str">
        <f>IFERROR(__xludf.DUMMYFUNCTION("""COMPUTED_VALUE"""),"R1 / R3")</f>
        <v>R1 / R3</v>
      </c>
      <c r="E34" s="2" t="str">
        <f>IFERROR(__xludf.DUMMYFUNCTION("""COMPUTED_VALUE"""),"Class Preparation")</f>
        <v>Class Preparation</v>
      </c>
      <c r="F34" s="2" t="str">
        <f>IFERROR(__xludf.DUMMYFUNCTION("""COMPUTED_VALUE"""),"challenge")</f>
        <v>challenge</v>
      </c>
      <c r="G34" s="3" t="str">
        <f>IFERROR(__xludf.DUMMYFUNCTION("""COMPUTED_VALUE"""),"O desafio nesse aspecto refere-se [..] a questão dos laboratórios  [...]  mas você acaba sempre por uma questão de tempo versus desenvolvimento da aula ")</f>
        <v>O desafio nesse aspecto refere-se [..] a questão dos laboratórios  [...]  mas você acaba sempre por uma questão de tempo versus desenvolvimento da aula </v>
      </c>
      <c r="H34" s="3" t="str">
        <f>IFERROR(__xludf.DUMMYFUNCTION("""COMPUTED_VALUE"""),"Limitation of the development of laboratory practices in class due to the short time.")</f>
        <v>Limitation of the development of laboratory practices in class due to the short time.</v>
      </c>
      <c r="I34" s="2" t="s">
        <v>2857</v>
      </c>
    </row>
    <row r="35">
      <c r="A35" s="48" t="s">
        <v>2858</v>
      </c>
      <c r="B35" s="2">
        <f>IFERROR(__xludf.DUMMYFUNCTION("""COMPUTED_VALUE"""),3.0)</f>
        <v>3</v>
      </c>
      <c r="C35" s="2">
        <f>IFERROR(__xludf.DUMMYFUNCTION("""COMPUTED_VALUE"""),7.0)</f>
        <v>7</v>
      </c>
      <c r="D35" s="2" t="str">
        <f>IFERROR(__xludf.DUMMYFUNCTION("""COMPUTED_VALUE"""),"R2 / R3")</f>
        <v>R2 / R3</v>
      </c>
      <c r="E35" s="2" t="str">
        <f>IFERROR(__xludf.DUMMYFUNCTION("""COMPUTED_VALUE"""),"Assessment")</f>
        <v>Assessment</v>
      </c>
      <c r="F35" s="2" t="str">
        <f>IFERROR(__xludf.DUMMYFUNCTION("""COMPUTED_VALUE"""),"challenge")</f>
        <v>challenge</v>
      </c>
      <c r="G35" s="3" t="str">
        <f>IFERROR(__xludf.DUMMYFUNCTION("""COMPUTED_VALUE"""),"[...] em muitos casos a avaliação ainda é baseada no modelo tradicional de prova ou em algum processo de avaliação fixo, com uma relação X de questões ou algo similar. ")</f>
        <v>[...] em muitos casos a avaliação ainda é baseada no modelo tradicional de prova ou em algum processo de avaliação fixo, com uma relação X de questões ou algo similar. </v>
      </c>
      <c r="H35" s="3" t="str">
        <f>IFERROR(__xludf.DUMMYFUNCTION("""COMPUTED_VALUE"""),"Difficulty dealing with assessments based on a traditional test model.")</f>
        <v>Difficulty dealing with assessments based on a traditional test model.</v>
      </c>
      <c r="I35" s="2" t="s">
        <v>2859</v>
      </c>
    </row>
    <row r="36">
      <c r="A36" s="48" t="s">
        <v>2860</v>
      </c>
      <c r="B36" s="2">
        <f>IFERROR(__xludf.DUMMYFUNCTION("""COMPUTED_VALUE"""),3.0)</f>
        <v>3</v>
      </c>
      <c r="C36" s="2">
        <f>IFERROR(__xludf.DUMMYFUNCTION("""COMPUTED_VALUE"""),8.0)</f>
        <v>8</v>
      </c>
      <c r="D36" s="2" t="str">
        <f>IFERROR(__xludf.DUMMYFUNCTION("""COMPUTED_VALUE"""),"R1 / R3")</f>
        <v>R1 / R3</v>
      </c>
      <c r="E36" s="2" t="str">
        <f>IFERROR(__xludf.DUMMYFUNCTION("""COMPUTED_VALUE"""),"Curriculum")</f>
        <v>Curriculum</v>
      </c>
      <c r="F36" s="2" t="str">
        <f>IFERROR(__xludf.DUMMYFUNCTION("""COMPUTED_VALUE"""),"challenge")</f>
        <v>challenge</v>
      </c>
      <c r="G36" s="3" t="str">
        <f>IFERROR(__xludf.DUMMYFUNCTION("""COMPUTED_VALUE"""),"o conceito DevOps, ele é muito aberto, né, ele engloba áreas diferentes entre desenvolvimento, segurança e operações.")</f>
        <v>o conceito DevOps, ele é muito aberto, né, ele engloba áreas diferentes entre desenvolvimento, segurança e operações.</v>
      </c>
      <c r="H36" s="3" t="str">
        <f>IFERROR(__xludf.DUMMYFUNCTION("""COMPUTED_VALUE"""),"The teaching of devops is multidisciplinary, covering different areas such as development, safety and operation.")</f>
        <v>The teaching of devops is multidisciplinary, covering different areas such as development, safety and operation.</v>
      </c>
      <c r="I36" s="2" t="s">
        <v>2861</v>
      </c>
    </row>
    <row r="37">
      <c r="A37" s="48" t="s">
        <v>2862</v>
      </c>
      <c r="B37" s="2">
        <f>IFERROR(__xludf.DUMMYFUNCTION("""COMPUTED_VALUE"""),3.0)</f>
        <v>3</v>
      </c>
      <c r="C37" s="2">
        <f>IFERROR(__xludf.DUMMYFUNCTION("""COMPUTED_VALUE"""),9.0)</f>
        <v>9</v>
      </c>
      <c r="D37" s="2" t="str">
        <f>IFERROR(__xludf.DUMMYFUNCTION("""COMPUTED_VALUE"""),"R1 / R3")</f>
        <v>R1 / R3</v>
      </c>
      <c r="E37" s="2" t="str">
        <f>IFERROR(__xludf.DUMMYFUNCTION("""COMPUTED_VALUE"""),"Pedagogy")</f>
        <v>Pedagogy</v>
      </c>
      <c r="F37" s="2" t="str">
        <f>IFERROR(__xludf.DUMMYFUNCTION("""COMPUTED_VALUE"""),"challenge")</f>
        <v>challenge</v>
      </c>
      <c r="G37" s="3" t="str">
        <f>IFERROR(__xludf.DUMMYFUNCTION("""COMPUTED_VALUE"""),"Se o aluno tá num contexto onde ele sempre esteve na área acadêmica ou ele nunca teve um contato prático com nenhuma dessas características do desenvolvimento de software, é provável que pra ele seja muito mais desafiador ")</f>
        <v>Se o aluno tá num contexto onde ele sempre esteve na área acadêmica ou ele nunca teve um contato prático com nenhuma dessas características do desenvolvimento de software, é provável que pra ele seja muito mais desafiador </v>
      </c>
      <c r="H37" s="3" t="str">
        <f>IFERROR(__xludf.DUMMYFUNCTION("""COMPUTED_VALUE"""),"There is a greater difficulty in understanding devops by students whose background is more academic, who have no experience in software development or direct operation.")</f>
        <v>There is a greater difficulty in understanding devops by students whose background is more academic, who have no experience in software development or direct operation.</v>
      </c>
      <c r="I37" s="2" t="s">
        <v>2863</v>
      </c>
    </row>
    <row r="38">
      <c r="A38" s="48" t="s">
        <v>2864</v>
      </c>
      <c r="B38" s="2">
        <f>IFERROR(__xludf.DUMMYFUNCTION("""COMPUTED_VALUE"""),3.0)</f>
        <v>3</v>
      </c>
      <c r="C38" s="2">
        <f>IFERROR(__xludf.DUMMYFUNCTION("""COMPUTED_VALUE"""),9.0)</f>
        <v>9</v>
      </c>
      <c r="D38" s="2" t="str">
        <f>IFERROR(__xludf.DUMMYFUNCTION("""COMPUTED_VALUE"""),"R1 / R3")</f>
        <v>R1 / R3</v>
      </c>
      <c r="E38" s="2" t="str">
        <f>IFERROR(__xludf.DUMMYFUNCTION("""COMPUTED_VALUE"""),"Pedagogy")</f>
        <v>Pedagogy</v>
      </c>
      <c r="F38" s="2" t="str">
        <f>IFERROR(__xludf.DUMMYFUNCTION("""COMPUTED_VALUE"""),"challenge")</f>
        <v>challenge</v>
      </c>
      <c r="G38" s="3" t="str">
        <f>IFERROR(__xludf.DUMMYFUNCTION("""COMPUTED_VALUE"""),"Se o aluno tá num contexto onde ele sempre esteve na área acadêmica ou ele nunca teve um contato prático com nenhuma dessas características do desenvolvimento de software, [...] para o professor se torna muito mais desafiador ensinar o conceito DevOps ess"&amp;"e perfil de aluno")</f>
        <v>Se o aluno tá num contexto onde ele sempre esteve na área acadêmica ou ele nunca teve um contato prático com nenhuma dessas características do desenvolvimento de software, [...] para o professor se torna muito mais desafiador ensinar o conceito DevOps esse perfil de aluno</v>
      </c>
      <c r="H38" s="3" t="str">
        <f>IFERROR(__xludf.DUMMYFUNCTION("""COMPUTED_VALUE"""),"It is difficult to teach students with more academic training that have no experience in software development or operation directly.")</f>
        <v>It is difficult to teach students with more academic training that have no experience in software development or operation directly.</v>
      </c>
      <c r="I38" s="2" t="s">
        <v>2865</v>
      </c>
    </row>
    <row r="39">
      <c r="A39" s="48" t="s">
        <v>2866</v>
      </c>
      <c r="B39" s="2">
        <f>IFERROR(__xludf.DUMMYFUNCTION("""COMPUTED_VALUE"""),3.0)</f>
        <v>3</v>
      </c>
      <c r="C39" s="2">
        <f>IFERROR(__xludf.DUMMYFUNCTION("""COMPUTED_VALUE"""),10.0)</f>
        <v>10</v>
      </c>
      <c r="D39" s="2" t="str">
        <f>IFERROR(__xludf.DUMMYFUNCTION("""COMPUTED_VALUE"""),"R1 / R3")</f>
        <v>R1 / R3</v>
      </c>
      <c r="E39" s="2" t="str">
        <f>IFERROR(__xludf.DUMMYFUNCTION("""COMPUTED_VALUE"""),"DevSecOps Challenges and Recommendations")</f>
        <v>DevSecOps Challenges and Recommendations</v>
      </c>
      <c r="F39" s="2" t="str">
        <f>IFERROR(__xludf.DUMMYFUNCTION("""COMPUTED_VALUE"""),"challenge")</f>
        <v>challenge</v>
      </c>
      <c r="G39" s="3" t="str">
        <f>IFERROR(__xludf.DUMMYFUNCTION("""COMPUTED_VALUE"""),"DevSecOps [...] é o tipo de disciplina que ela exige conhecimento forte em duas áreas, entre ambas distintas, na área de segurança, mas ao mesmo tempo na área de desenvolvimento para conseguir encontrar o elo entre as duas e aí sim, chegar no que o aluno "&amp;"
  ")</f>
        <v>DevSecOps [...] é o tipo de disciplina que ela exige conhecimento forte em duas áreas, entre ambas distintas, na área de segurança, mas ao mesmo tempo na área de desenvolvimento para conseguir encontrar o elo entre as duas e aí sim, chegar no que o aluno 
  </v>
      </c>
      <c r="H39" s="3" t="str">
        <f>IFERROR(__xludf.DUMMYFUNCTION("""COMPUTED_VALUE"""),"The teacher needs good technical knowledge in the areas of security (especially vulnerability management) and systems development to teach DevSecOps.")</f>
        <v>The teacher needs good technical knowledge in the areas of security (especially vulnerability management) and systems development to teach DevSecOps.</v>
      </c>
      <c r="I39" s="2" t="s">
        <v>2867</v>
      </c>
    </row>
    <row r="40">
      <c r="A40" s="48" t="s">
        <v>2868</v>
      </c>
      <c r="B40" s="2">
        <f>IFERROR(__xludf.DUMMYFUNCTION("""COMPUTED_VALUE"""),4.0)</f>
        <v>4</v>
      </c>
      <c r="C40" s="2">
        <f>IFERROR(__xludf.DUMMYFUNCTION("""COMPUTED_VALUE"""),1.0)</f>
        <v>1</v>
      </c>
      <c r="D40" s="2" t="str">
        <f>IFERROR(__xludf.DUMMYFUNCTION("""COMPUTED_VALUE"""),"R1 / R2")</f>
        <v>R1 / R2</v>
      </c>
      <c r="E40" s="2" t="str">
        <f>IFERROR(__xludf.DUMMYFUNCTION("""COMPUTED_VALUE"""),"General Challenges and Recommendations")</f>
        <v>General Challenges and Recommendations</v>
      </c>
      <c r="F40" s="2" t="str">
        <f>IFERROR(__xludf.DUMMYFUNCTION("""COMPUTED_VALUE"""),"challenge")</f>
        <v>challenge</v>
      </c>
      <c r="G40" s="3" t="str">
        <f>IFERROR(__xludf.DUMMYFUNCTION("""COMPUTED_VALUE"""),"O primeiro desafio é desacoplar a ideia de que [...] sobre DevOps [...] entregar uma fórmula")</f>
        <v>O primeiro desafio é desacoplar a ideia de que [...] sobre DevOps [...] entregar uma fórmula</v>
      </c>
      <c r="H40" s="3" t="str">
        <f>IFERROR(__xludf.DUMMYFUNCTION("""COMPUTED_VALUE"""),"Difficulty explaining to students that DevOps is not just about tools.")</f>
        <v>Difficulty explaining to students that DevOps is not just about tools.</v>
      </c>
      <c r="I40" s="2" t="s">
        <v>2869</v>
      </c>
    </row>
    <row r="41">
      <c r="A41" s="48" t="s">
        <v>2870</v>
      </c>
      <c r="B41" s="2">
        <f>IFERROR(__xludf.DUMMYFUNCTION("""COMPUTED_VALUE"""),4.0)</f>
        <v>4</v>
      </c>
      <c r="C41" s="2">
        <f>IFERROR(__xludf.DUMMYFUNCTION("""COMPUTED_VALUE"""),1.0)</f>
        <v>1</v>
      </c>
      <c r="D41" s="2" t="str">
        <f>IFERROR(__xludf.DUMMYFUNCTION("""COMPUTED_VALUE"""),"R1 / R2")</f>
        <v>R1 / R2</v>
      </c>
      <c r="E41" s="2" t="str">
        <f>IFERROR(__xludf.DUMMYFUNCTION("""COMPUTED_VALUE"""),"General Challenges and Recommendations")</f>
        <v>General Challenges and Recommendations</v>
      </c>
      <c r="F41" s="2" t="str">
        <f>IFERROR(__xludf.DUMMYFUNCTION("""COMPUTED_VALUE"""),"challenge")</f>
        <v>challenge</v>
      </c>
      <c r="G41" s="3" t="str">
        <f>IFERROR(__xludf.DUMMYFUNCTION("""COMPUTED_VALUE"""),"os alunos, eles chegam com a ideia de que eles um conjunto de ferramentas X pra entregar no dia a dia deles e ferramentas só um pedaço e um pedaço pequeno dentro do processo de entrega, que é mais cultural e é mais pessoal do que ferramental, né? Organiza"&amp;"cional até, eu diria. ")</f>
        <v>os alunos, eles chegam com a ideia de que eles um conjunto de ferramentas X pra entregar no dia a dia deles e ferramentas só um pedaço e um pedaço pequeno dentro do processo de entrega, que é mais cultural e é mais pessoal do que ferramental, né? Organizacional até, eu diria. </v>
      </c>
      <c r="H41" s="3" t="str">
        <f>IFERROR(__xludf.DUMMYFUNCTION("""COMPUTED_VALUE"""),"Difficulty in explaining to students that DevOps is not just tooling, it encompasses the cultural part.")</f>
        <v>Difficulty in explaining to students that DevOps is not just tooling, it encompasses the cultural part.</v>
      </c>
      <c r="I41" s="2" t="s">
        <v>2871</v>
      </c>
    </row>
    <row r="42">
      <c r="A42" s="48" t="s">
        <v>2872</v>
      </c>
      <c r="B42" s="2">
        <f>IFERROR(__xludf.DUMMYFUNCTION("""COMPUTED_VALUE"""),4.0)</f>
        <v>4</v>
      </c>
      <c r="C42" s="2">
        <f>IFERROR(__xludf.DUMMYFUNCTION("""COMPUTED_VALUE"""),1.0)</f>
        <v>1</v>
      </c>
      <c r="D42" s="2" t="str">
        <f>IFERROR(__xludf.DUMMYFUNCTION("""COMPUTED_VALUE"""),"R1 / R2")</f>
        <v>R1 / R2</v>
      </c>
      <c r="E42" s="2" t="str">
        <f>IFERROR(__xludf.DUMMYFUNCTION("""COMPUTED_VALUE"""),"General Challenges and Recommendations")</f>
        <v>General Challenges and Recommendations</v>
      </c>
      <c r="F42" s="2" t="str">
        <f>IFERROR(__xludf.DUMMYFUNCTION("""COMPUTED_VALUE"""),"challenge")</f>
        <v>challenge</v>
      </c>
      <c r="G42" s="3" t="str">
        <f>IFERROR(__xludf.DUMMYFUNCTION("""COMPUTED_VALUE"""),"O segundo desafio são pessoas com experiências distintas [...] você tem turmas que são mistas, assim num ponto do curso onde você fala sobre uma linguagem de programação específica para dar um exemplo. Alguns têm mais familiaridade do que outros. [...] En"&amp;"tão, saber lidar com essas diferenças para deixar o curso agradável a todos e confortável para todos, esse é um grande desafio. ")</f>
        <v>O segundo desafio são pessoas com experiências distintas [...] você tem turmas que são mistas, assim num ponto do curso onde você fala sobre uma linguagem de programação específica para dar um exemplo. Alguns têm mais familiaridade do que outros. [...] Então, saber lidar com essas diferenças para deixar o curso agradável a todos e confortável para todos, esse é um grande desafio. </v>
      </c>
      <c r="H42" s="3" t="str">
        <f>IFERROR(__xludf.DUMMYFUNCTION("""COMPUTED_VALUE"""),"Difficulty in knowing how to deal with groups of students who have very different experiences.")</f>
        <v>Difficulty in knowing how to deal with groups of students who have very different experiences.</v>
      </c>
      <c r="I42" s="2" t="s">
        <v>2873</v>
      </c>
    </row>
    <row r="43">
      <c r="A43" s="48" t="s">
        <v>2874</v>
      </c>
      <c r="B43" s="2">
        <f>IFERROR(__xludf.DUMMYFUNCTION("""COMPUTED_VALUE"""),4.0)</f>
        <v>4</v>
      </c>
      <c r="C43" s="2">
        <f>IFERROR(__xludf.DUMMYFUNCTION("""COMPUTED_VALUE"""),2.0)</f>
        <v>2</v>
      </c>
      <c r="D43" s="2" t="str">
        <f>IFERROR(__xludf.DUMMYFUNCTION("""COMPUTED_VALUE"""),"R2 / R3")</f>
        <v>R2 / R3</v>
      </c>
      <c r="E43" s="2" t="str">
        <f>IFERROR(__xludf.DUMMYFUNCTION("""COMPUTED_VALUE"""),"General Challenges and Recommendations")</f>
        <v>General Challenges and Recommendations</v>
      </c>
      <c r="F43" s="2" t="str">
        <f>IFERROR(__xludf.DUMMYFUNCTION("""COMPUTED_VALUE"""),"challenge")</f>
        <v>challenge</v>
      </c>
      <c r="G43" s="3" t="str">
        <f>IFERROR(__xludf.DUMMYFUNCTION("""COMPUTED_VALUE"""),"Como as pessoas ficam remotas, basicamente, pros treinamentos, são vários fatores que influenciam a didática. O ambiente da casa, mesmo, que a pessoa, às vezes, não mora sozinha, ou tem filhos, filhas. Isso não é um problema pra gente, pra eu, professor, "&amp;"como professor, mas pra pessoa, às vezes, não pode abrir uma câmera. Não consegue fazer uma então, lidar com essas diferenças dentro da pandemia é importante. Não é um problema, mas é um ponto de e também as diferenças das da infraestrutura que a pessoa t"&amp;"em pra fazer o curso. Uma máquina um pouco mais nova, mais antiga, pré-configurada pro trabalho, tem tem empresas que já deixam a máquina pronta pro dia a dia e o curso usa outras configurações que são desafios que a gente tem com os alunos pra falar, olh"&amp;"a, preciso de uma versão X, da e a pessoa não tem a permissão de instalação. 
")</f>
        <v>Como as pessoas ficam remotas, basicamente, pros treinamentos, são vários fatores que influenciam a didática. O ambiente da casa, mesmo, que a pessoa, às vezes, não mora sozinha, ou tem filhos, filhas. Isso não é um problema pra gente, pra eu, professor, como professor, mas pra pessoa, às vezes, não pode abrir uma câmera. Não consegue fazer uma então, lidar com essas diferenças dentro da pandemia é importante. Não é um problema, mas é um ponto de e também as diferenças das da infraestrutura que a pessoa tem pra fazer o curso. Uma máquina um pouco mais nova, mais antiga, pré-configurada pro trabalho, tem tem empresas que já deixam a máquina pronta pro dia a dia e o curso usa outras configurações que são desafios que a gente tem com os alunos pra falar, olha, preciso de uma versão X, da e a pessoa não tem a permissão de instalação. 
</v>
      </c>
      <c r="H43" s="3" t="str">
        <f>IFERROR(__xludf.DUMMYFUNCTION("""COMPUTED_VALUE"""),"Difficulties in remote work with students: privacy, availability, infrastructure differences, environment configuration.")</f>
        <v>Difficulties in remote work with students: privacy, availability, infrastructure differences, environment configuration.</v>
      </c>
      <c r="I43" s="2" t="s">
        <v>2875</v>
      </c>
    </row>
    <row r="44">
      <c r="A44" s="48" t="s">
        <v>2876</v>
      </c>
      <c r="B44" s="2">
        <f>IFERROR(__xludf.DUMMYFUNCTION("""COMPUTED_VALUE"""),4.0)</f>
        <v>4</v>
      </c>
      <c r="C44" s="2">
        <f>IFERROR(__xludf.DUMMYFUNCTION("""COMPUTED_VALUE"""),2.0)</f>
        <v>2</v>
      </c>
      <c r="D44" s="2" t="str">
        <f>IFERROR(__xludf.DUMMYFUNCTION("""COMPUTED_VALUE"""),"R2 / R3")</f>
        <v>R2 / R3</v>
      </c>
      <c r="E44" s="2" t="str">
        <f>IFERROR(__xludf.DUMMYFUNCTION("""COMPUTED_VALUE"""),"General Challenges and Recommendations")</f>
        <v>General Challenges and Recommendations</v>
      </c>
      <c r="F44" s="2" t="str">
        <f>IFERROR(__xludf.DUMMYFUNCTION("""COMPUTED_VALUE"""),"challenge")</f>
        <v>challenge</v>
      </c>
      <c r="G44" s="3" t="str">
        <f>IFERROR(__xludf.DUMMYFUNCTION("""COMPUTED_VALUE"""),"é o desafio cultural mesmo de eu não vou entregar uma receita pronta...")</f>
        <v>é o desafio cultural mesmo de eu não vou entregar uma receita pronta...</v>
      </c>
      <c r="H44" s="3" t="str">
        <f>IFERROR(__xludf.DUMMYFUNCTION("""COMPUTED_VALUE"""),"There is no ready-made recipe to teach the DevOps mindset (culture).")</f>
        <v>There is no ready-made recipe to teach the DevOps mindset (culture).</v>
      </c>
      <c r="I44" s="2" t="s">
        <v>2877</v>
      </c>
    </row>
    <row r="45">
      <c r="A45" s="48" t="s">
        <v>2878</v>
      </c>
      <c r="B45" s="2">
        <f>IFERROR(__xludf.DUMMYFUNCTION("""COMPUTED_VALUE"""),4.0)</f>
        <v>4</v>
      </c>
      <c r="C45" s="2">
        <f>IFERROR(__xludf.DUMMYFUNCTION("""COMPUTED_VALUE"""),3.0)</f>
        <v>3</v>
      </c>
      <c r="D45" s="2" t="str">
        <f>IFERROR(__xludf.DUMMYFUNCTION("""COMPUTED_VALUE"""),"R1 / R3")</f>
        <v>R1 / R3</v>
      </c>
      <c r="E45" s="2" t="str">
        <f>IFERROR(__xludf.DUMMYFUNCTION("""COMPUTED_VALUE"""),"General Challenges and Recommendations")</f>
        <v>General Challenges and Recommendations</v>
      </c>
      <c r="F45" s="2" t="str">
        <f>IFERROR(__xludf.DUMMYFUNCTION("""COMPUTED_VALUE"""),"challenge")</f>
        <v>challenge</v>
      </c>
      <c r="G45" s="3" t="str">
        <f>IFERROR(__xludf.DUMMYFUNCTION("""COMPUTED_VALUE"""),"a gente tem um acordo comum, um acordo não, é uma convenção que nós temos que é o seguinte, as pessoas são diferentes, viu?  ... elas têm background diferentes, elas têm histórias de vida diferente, experiências que marcaram elas de maneiras distintas ")</f>
        <v>a gente tem um acordo comum, um acordo não, é uma convenção que nós temos que é o seguinte, as pessoas são diferentes, viu?  ... elas têm background diferentes, elas têm histórias de vida diferente, experiências que marcaram elas de maneiras distintas </v>
      </c>
      <c r="H45" s="3" t="str">
        <f>IFERROR(__xludf.DUMMYFUNCTION("""COMPUTED_VALUE"""),"Students in a class have different backgrounds, life stories and experiences.")</f>
        <v>Students in a class have different backgrounds, life stories and experiences.</v>
      </c>
      <c r="I45" s="2" t="s">
        <v>2879</v>
      </c>
    </row>
    <row r="46">
      <c r="A46" s="48" t="s">
        <v>2880</v>
      </c>
      <c r="B46" s="2">
        <f>IFERROR(__xludf.DUMMYFUNCTION("""COMPUTED_VALUE"""),4.0)</f>
        <v>4</v>
      </c>
      <c r="C46" s="2">
        <f>IFERROR(__xludf.DUMMYFUNCTION("""COMPUTED_VALUE"""),4.0)</f>
        <v>4</v>
      </c>
      <c r="D46" s="2" t="str">
        <f>IFERROR(__xludf.DUMMYFUNCTION("""COMPUTED_VALUE"""),"R1 / R3")</f>
        <v>R1 / R3</v>
      </c>
      <c r="E46" s="2" t="str">
        <f>IFERROR(__xludf.DUMMYFUNCTION("""COMPUTED_VALUE"""),"Environment Setup")</f>
        <v>Environment Setup</v>
      </c>
      <c r="F46" s="2" t="str">
        <f>IFERROR(__xludf.DUMMYFUNCTION("""COMPUTED_VALUE"""),"challenge")</f>
        <v>challenge</v>
      </c>
      <c r="G46" s="3" t="str">
        <f>IFERROR(__xludf.DUMMYFUNCTION("""COMPUTED_VALUE"""),"restrição de capacidade da máquina do aluno")</f>
        <v>restrição de capacidade da máquina do aluno</v>
      </c>
      <c r="H46" s="3" t="str">
        <f>IFERROR(__xludf.DUMMYFUNCTION("""COMPUTED_VALUE"""),"Students may have learning difficulties due to their machine's capacity constraints.")</f>
        <v>Students may have learning difficulties due to their machine's capacity constraints.</v>
      </c>
      <c r="I46" s="2" t="s">
        <v>2881</v>
      </c>
    </row>
    <row r="47">
      <c r="A47" s="48" t="s">
        <v>2882</v>
      </c>
      <c r="B47" s="2">
        <f>IFERROR(__xludf.DUMMYFUNCTION("""COMPUTED_VALUE"""),4.0)</f>
        <v>4</v>
      </c>
      <c r="C47" s="2">
        <f>IFERROR(__xludf.DUMMYFUNCTION("""COMPUTED_VALUE"""),4.0)</f>
        <v>4</v>
      </c>
      <c r="D47" s="2" t="str">
        <f>IFERROR(__xludf.DUMMYFUNCTION("""COMPUTED_VALUE"""),"R1 / R3")</f>
        <v>R1 / R3</v>
      </c>
      <c r="E47" s="2" t="str">
        <f>IFERROR(__xludf.DUMMYFUNCTION("""COMPUTED_VALUE"""),"Environment Setup")</f>
        <v>Environment Setup</v>
      </c>
      <c r="F47" s="2" t="str">
        <f>IFERROR(__xludf.DUMMYFUNCTION("""COMPUTED_VALUE"""),"challenge")</f>
        <v>challenge</v>
      </c>
      <c r="G47" s="2" t="str">
        <f>IFERROR(__xludf.DUMMYFUNCTION("""COMPUTED_VALUE"""),"Para quem é de infraestrutura e só está acostumado a acessar o servidor, você fazer o build com uma ferramenta como o Maven, por exemplo, pode ser um desafio pra ele ")</f>
        <v>Para quem é de infraestrutura e só está acostumado a acessar o servidor, você fazer o build com uma ferramenta como o Maven, por exemplo, pode ser um desafio pra ele </v>
      </c>
      <c r="H47" s="2" t="str">
        <f>IFERROR(__xludf.DUMMYFUNCTION("""COMPUTED_VALUE"""),"It is challenging for students with an operating background to carry out software development activities, such as generating a build with the maven tool.")</f>
        <v>It is challenging for students with an operating background to carry out software development activities, such as generating a build with the maven tool.</v>
      </c>
      <c r="I47" s="2" t="s">
        <v>2883</v>
      </c>
    </row>
    <row r="48">
      <c r="A48" s="48" t="s">
        <v>2884</v>
      </c>
      <c r="B48" s="2">
        <f>IFERROR(__xludf.DUMMYFUNCTION("""COMPUTED_VALUE"""),4.0)</f>
        <v>4</v>
      </c>
      <c r="C48" s="2">
        <f>IFERROR(__xludf.DUMMYFUNCTION("""COMPUTED_VALUE"""),4.0)</f>
        <v>4</v>
      </c>
      <c r="D48" s="2" t="str">
        <f>IFERROR(__xludf.DUMMYFUNCTION("""COMPUTED_VALUE"""),"R1 / R3")</f>
        <v>R1 / R3</v>
      </c>
      <c r="E48" s="2" t="str">
        <f>IFERROR(__xludf.DUMMYFUNCTION("""COMPUTED_VALUE"""),"Environment Setup")</f>
        <v>Environment Setup</v>
      </c>
      <c r="F48" s="2" t="str">
        <f>IFERROR(__xludf.DUMMYFUNCTION("""COMPUTED_VALUE"""),"challenge")</f>
        <v>challenge</v>
      </c>
      <c r="G48" s="3" t="str">
        <f>IFERROR(__xludf.DUMMYFUNCTION("""COMPUTED_VALUE"""),"a gente depende de internet, vou dar um exemplo muito simples, você vai usar a máquina virtual, por mais que você use o Vagrant, por exemplo, ele precisa baixar uma imagem base. E dependendo da localização do aluno, demora dois minutos e chega a demorar d"&amp;"uas horas. ")</f>
        <v>a gente depende de internet, vou dar um exemplo muito simples, você vai usar a máquina virtual, por mais que você use o Vagrant, por exemplo, ele precisa baixar uma imagem base. E dependendo da localização do aluno, demora dois minutos e chega a demorar duas horas. </v>
      </c>
      <c r="H48" s="3" t="str">
        <f>IFERROR(__xludf.DUMMYFUNCTION("""COMPUTED_VALUE"""),"Students may have limited internet access. It difficults activities such as downloading OS images to virtual machines.")</f>
        <v>Students may have limited internet access. It difficults activities such as downloading OS images to virtual machines.</v>
      </c>
      <c r="I48" s="2" t="s">
        <v>2885</v>
      </c>
    </row>
    <row r="49">
      <c r="A49" s="48" t="s">
        <v>2886</v>
      </c>
      <c r="B49" s="2">
        <f>IFERROR(__xludf.DUMMYFUNCTION("""COMPUTED_VALUE"""),4.0)</f>
        <v>4</v>
      </c>
      <c r="C49" s="2">
        <f>IFERROR(__xludf.DUMMYFUNCTION("""COMPUTED_VALUE"""),5.0)</f>
        <v>5</v>
      </c>
      <c r="D49" s="2" t="str">
        <f>IFERROR(__xludf.DUMMYFUNCTION("""COMPUTED_VALUE"""),"R1 / R3")</f>
        <v>R1 / R3</v>
      </c>
      <c r="E49" s="2" t="str">
        <f>IFERROR(__xludf.DUMMYFUNCTION("""COMPUTED_VALUE"""),"DevOps Concepts")</f>
        <v>DevOps Concepts</v>
      </c>
      <c r="F49" s="2" t="str">
        <f>IFERROR(__xludf.DUMMYFUNCTION("""COMPUTED_VALUE"""),"challenge")</f>
        <v>challenge</v>
      </c>
      <c r="G49" s="3" t="str">
        <f>IFERROR(__xludf.DUMMYFUNCTION("""COMPUTED_VALUE"""),"a expectativa dos alunos entregar alguma coisa, por a mão, porque são pessoas técnicas, é conseguir balancear o que é conceito e o que é prática e mostrar a importância, o valor do que você tá explicando. ")</f>
        <v>a expectativa dos alunos entregar alguma coisa, por a mão, porque são pessoas técnicas, é conseguir balancear o que é conceito e o que é prática e mostrar a importância, o valor do que você tá explicando. </v>
      </c>
      <c r="H49" s="3" t="str">
        <f>IFERROR(__xludf.DUMMYFUNCTION("""COMPUTED_VALUE"""),"Difficulty balancing theory foundations and make them interesting in the practice.")</f>
        <v>Difficulty balancing theory foundations and make them interesting in the practice.</v>
      </c>
      <c r="I49" s="2" t="s">
        <v>2887</v>
      </c>
    </row>
    <row r="50">
      <c r="A50" s="48" t="s">
        <v>2888</v>
      </c>
      <c r="B50" s="2">
        <f>IFERROR(__xludf.DUMMYFUNCTION("""COMPUTED_VALUE"""),4.0)</f>
        <v>4</v>
      </c>
      <c r="C50" s="2">
        <f>IFERROR(__xludf.DUMMYFUNCTION("""COMPUTED_VALUE"""),12.0)</f>
        <v>12</v>
      </c>
      <c r="D50" s="2" t="str">
        <f>IFERROR(__xludf.DUMMYFUNCTION("""COMPUTED_VALUE"""),"R2 / R3")</f>
        <v>R2 / R3</v>
      </c>
      <c r="E50" s="2" t="str">
        <f>IFERROR(__xludf.DUMMYFUNCTION("""COMPUTED_VALUE"""),"Other Challenge and Recommendation")</f>
        <v>Other Challenge and Recommendation</v>
      </c>
      <c r="F50" s="2" t="str">
        <f>IFERROR(__xludf.DUMMYFUNCTION("""COMPUTED_VALUE"""),"challenge")</f>
        <v>challenge</v>
      </c>
      <c r="G50" s="3" t="str">
        <f>IFERROR(__xludf.DUMMYFUNCTION("""COMPUTED_VALUE"""),"você conseguir olhar pra todos os alunos é muito difícil, eu entendo porque alguns não podem abrir a câmera. Não tem capacidade ou tecnológica, ou estrutural de abrir, conversar com você. A comunicação é quebrada, por mais que a gente abra o tempo inteiro"&amp;", mesmo que o zoom permita isso. É diferente do dia a dia na sala de aula, porque você não consegue olhar pro aluno e perceber como ele tá reagindo aquele conteúdo. Não que você se adapte só pra um aluno, mas você não tem a percepção pessoal da dúvida. às"&amp;" vezes você consegue olhar pro aluno e falar, opa, eu acho que isso não ficou claro pra ele. Isso é um desafio. ")</f>
        <v>você conseguir olhar pra todos os alunos é muito difícil, eu entendo porque alguns não podem abrir a câmera. Não tem capacidade ou tecnológica, ou estrutural de abrir, conversar com você. A comunicação é quebrada, por mais que a gente abra o tempo inteiro, mesmo que o zoom permita isso. É diferente do dia a dia na sala de aula, porque você não consegue olhar pro aluno e perceber como ele tá reagindo aquele conteúdo. Não que você se adapte só pra um aluno, mas você não tem a percepção pessoal da dúvida. às vezes você consegue olhar pro aluno e falar, opa, eu acho que isso não ficou claro pra ele. Isso é um desafio. </v>
      </c>
      <c r="H50" s="3" t="str">
        <f>IFERROR(__xludf.DUMMYFUNCTION("""COMPUTED_VALUE"""),"Difficulty in monitoring and keeping in touch with all students effectively during remote learning classes.")</f>
        <v>Difficulty in monitoring and keeping in touch with all students effectively during remote learning classes.</v>
      </c>
      <c r="I50" s="2" t="s">
        <v>2889</v>
      </c>
    </row>
    <row r="51">
      <c r="A51" s="48" t="s">
        <v>2890</v>
      </c>
      <c r="B51" s="2">
        <f>IFERROR(__xludf.DUMMYFUNCTION("""COMPUTED_VALUE"""),4.0)</f>
        <v>4</v>
      </c>
      <c r="C51" s="2">
        <f>IFERROR(__xludf.DUMMYFUNCTION("""COMPUTED_VALUE"""),12.0)</f>
        <v>12</v>
      </c>
      <c r="D51" s="2" t="str">
        <f>IFERROR(__xludf.DUMMYFUNCTION("""COMPUTED_VALUE"""),"R2 / R3")</f>
        <v>R2 / R3</v>
      </c>
      <c r="E51" s="2" t="str">
        <f>IFERROR(__xludf.DUMMYFUNCTION("""COMPUTED_VALUE"""),"Other Challenge and Recommendation")</f>
        <v>Other Challenge and Recommendation</v>
      </c>
      <c r="F51" s="2" t="str">
        <f>IFERROR(__xludf.DUMMYFUNCTION("""COMPUTED_VALUE"""),"challenge")</f>
        <v>challenge</v>
      </c>
      <c r="G51" s="3" t="str">
        <f>IFERROR(__xludf.DUMMYFUNCTION("""COMPUTED_VALUE"""),"é setar as expectativas na hora dele se inscrever, que não é ferramental o curso inteiro, e que não, a gente não vai usar melhores stacks do mercado")</f>
        <v>é setar as expectativas na hora dele se inscrever, que não é ferramental o curso inteiro, e que não, a gente não vai usar melhores stacks do mercado</v>
      </c>
      <c r="H51" s="3" t="str">
        <f>IFERROR(__xludf.DUMMYFUNCTION("""COMPUTED_VALUE"""),"Difficulty adjusting students' expectations, as most of them just want to use new tools.")</f>
        <v>Difficulty adjusting students' expectations, as most of them just want to use new tools.</v>
      </c>
      <c r="I51" s="2" t="s">
        <v>2891</v>
      </c>
    </row>
    <row r="52">
      <c r="A52" s="48" t="s">
        <v>2892</v>
      </c>
      <c r="B52" s="2">
        <f>IFERROR(__xludf.DUMMYFUNCTION("""COMPUTED_VALUE"""),5.0)</f>
        <v>5</v>
      </c>
      <c r="C52" s="2">
        <f>IFERROR(__xludf.DUMMYFUNCTION("""COMPUTED_VALUE"""),1.0)</f>
        <v>1</v>
      </c>
      <c r="D52" s="2" t="str">
        <f>IFERROR(__xludf.DUMMYFUNCTION("""COMPUTED_VALUE"""),"R1 / R2")</f>
        <v>R1 / R2</v>
      </c>
      <c r="E52" s="2" t="str">
        <f>IFERROR(__xludf.DUMMYFUNCTION("""COMPUTED_VALUE"""),"General Challenges and Recommendations")</f>
        <v>General Challenges and Recommendations</v>
      </c>
      <c r="F52" s="2" t="str">
        <f>IFERROR(__xludf.DUMMYFUNCTION("""COMPUTED_VALUE"""),"challenge")</f>
        <v>challenge</v>
      </c>
      <c r="G52" s="3" t="str">
        <f>IFERROR(__xludf.DUMMYFUNCTION("""COMPUTED_VALUE"""),"Em ambas as turmas que eu dei [...] houve um desafio de [...] heterogeneidade da turma. você tem gente que é muito proficiente em desenvolvimento e não tem nem ideia da parte de servidor, linux e de configuração de ambiente, de ferramentas, [...] do outro"&amp;" espectro. Pessoas que vieram do operacional, System admin mesmo não tem tanta proficiência na parte de programação, de código. ")</f>
        <v>Em ambas as turmas que eu dei [...] houve um desafio de [...] heterogeneidade da turma. você tem gente que é muito proficiente em desenvolvimento e não tem nem ideia da parte de servidor, linux e de configuração de ambiente, de ferramentas, [...] do outro espectro. Pessoas que vieram do operacional, System admin mesmo não tem tanta proficiência na parte de programação, de código. </v>
      </c>
      <c r="H52" s="3" t="str">
        <f>IFERROR(__xludf.DUMMYFUNCTION("""COMPUTED_VALUE"""),"Difficulty in preparing classes with students at different levels of proficiency in development and operation.")</f>
        <v>Difficulty in preparing classes with students at different levels of proficiency in development and operation.</v>
      </c>
      <c r="I52" s="2" t="s">
        <v>2893</v>
      </c>
    </row>
    <row r="53">
      <c r="A53" s="48" t="s">
        <v>2894</v>
      </c>
      <c r="B53" s="2">
        <f>IFERROR(__xludf.DUMMYFUNCTION("""COMPUTED_VALUE"""),5.0)</f>
        <v>5</v>
      </c>
      <c r="C53" s="2">
        <f>IFERROR(__xludf.DUMMYFUNCTION("""COMPUTED_VALUE"""),2.0)</f>
        <v>2</v>
      </c>
      <c r="D53" s="2" t="str">
        <f>IFERROR(__xludf.DUMMYFUNCTION("""COMPUTED_VALUE"""),"R2 / R3")</f>
        <v>R2 / R3</v>
      </c>
      <c r="E53" s="2" t="str">
        <f>IFERROR(__xludf.DUMMYFUNCTION("""COMPUTED_VALUE"""),"General Challenges and Recommendations")</f>
        <v>General Challenges and Recommendations</v>
      </c>
      <c r="F53" s="2" t="str">
        <f>IFERROR(__xludf.DUMMYFUNCTION("""COMPUTED_VALUE"""),"challenge")</f>
        <v>challenge</v>
      </c>
      <c r="G53" s="3" t="str">
        <f>IFERROR(__xludf.DUMMYFUNCTION("""COMPUTED_VALUE"""),"a falta de proficiência de alguns alunos, em alguns critérios disso, acaba dificultando essa prática.")</f>
        <v>a falta de proficiência de alguns alunos, em alguns critérios disso, acaba dificultando essa prática.</v>
      </c>
      <c r="H53" s="3" t="str">
        <f>IFERROR(__xludf.DUMMYFUNCTION("""COMPUTED_VALUE"""),"Students' previous lack of knowledge makes learning difficult.")</f>
        <v>Students' previous lack of knowledge makes learning difficult.</v>
      </c>
      <c r="I53" s="2" t="s">
        <v>2895</v>
      </c>
    </row>
    <row r="54">
      <c r="A54" s="48" t="s">
        <v>2896</v>
      </c>
      <c r="B54" s="2">
        <f>IFERROR(__xludf.DUMMYFUNCTION("""COMPUTED_VALUE"""),5.0)</f>
        <v>5</v>
      </c>
      <c r="C54" s="2">
        <f>IFERROR(__xludf.DUMMYFUNCTION("""COMPUTED_VALUE"""),2.0)</f>
        <v>2</v>
      </c>
      <c r="D54" s="2" t="str">
        <f>IFERROR(__xludf.DUMMYFUNCTION("""COMPUTED_VALUE"""),"R2 / R3")</f>
        <v>R2 / R3</v>
      </c>
      <c r="E54" s="2" t="str">
        <f>IFERROR(__xludf.DUMMYFUNCTION("""COMPUTED_VALUE"""),"General Challenges and Recommendations")</f>
        <v>General Challenges and Recommendations</v>
      </c>
      <c r="F54" s="2" t="str">
        <f>IFERROR(__xludf.DUMMYFUNCTION("""COMPUTED_VALUE"""),"challenge")</f>
        <v>challenge</v>
      </c>
      <c r="G54" s="3" t="str">
        <f>IFERROR(__xludf.DUMMYFUNCTION("""COMPUTED_VALUE"""),"Ainda tem esse desafio de entender essas ferramentas, ambiente, rede, configuração, sabe? Então, acho que um desafio traz o outro, certo? Eu diria que esse é um desafio, também.
")</f>
        <v>Ainda tem esse desafio de entender essas ferramentas, ambiente, rede, configuração, sabe? Então, acho que um desafio traz o outro, certo? Eu diria que esse é um desafio, também.
</v>
      </c>
      <c r="H54" s="3" t="str">
        <f>IFERROR(__xludf.DUMMYFUNCTION("""COMPUTED_VALUE"""),"Difficulty in understanding environment, tools and network configuration.")</f>
        <v>Difficulty in understanding environment, tools and network configuration.</v>
      </c>
      <c r="I54" s="2" t="s">
        <v>2897</v>
      </c>
    </row>
    <row r="55">
      <c r="A55" s="48" t="s">
        <v>2898</v>
      </c>
      <c r="B55" s="2">
        <f>IFERROR(__xludf.DUMMYFUNCTION("""COMPUTED_VALUE"""),5.0)</f>
        <v>5</v>
      </c>
      <c r="C55" s="2">
        <f>IFERROR(__xludf.DUMMYFUNCTION("""COMPUTED_VALUE"""),3.0)</f>
        <v>3</v>
      </c>
      <c r="D55" s="2" t="str">
        <f>IFERROR(__xludf.DUMMYFUNCTION("""COMPUTED_VALUE"""),"R1 / R3")</f>
        <v>R1 / R3</v>
      </c>
      <c r="E55" s="2" t="str">
        <f>IFERROR(__xludf.DUMMYFUNCTION("""COMPUTED_VALUE"""),"General Challenges and Recommendations")</f>
        <v>General Challenges and Recommendations</v>
      </c>
      <c r="F55" s="2" t="str">
        <f>IFERROR(__xludf.DUMMYFUNCTION("""COMPUTED_VALUE"""),"challenge")</f>
        <v>challenge</v>
      </c>
      <c r="G55" s="3" t="str">
        <f>IFERROR(__xludf.DUMMYFUNCTION("""COMPUTED_VALUE"""),"é uma disciplina que não existe definição, assim, não existe livro texto base, não exite algo totalmente acordado entre a comunidade do que é, quando é aplicado e tal. ")</f>
        <v>é uma disciplina que não existe definição, assim, não existe livro texto base, não exite algo totalmente acordado entre a comunidade do que é, quando é aplicado e tal. </v>
      </c>
      <c r="H55" s="3" t="str">
        <f>IFERROR(__xludf.DUMMYFUNCTION("""COMPUTED_VALUE"""),"There is no fully agreed community base text.")</f>
        <v>There is no fully agreed community base text.</v>
      </c>
      <c r="I55" s="2" t="s">
        <v>2899</v>
      </c>
    </row>
    <row r="56">
      <c r="A56" s="48" t="s">
        <v>2900</v>
      </c>
      <c r="B56" s="2">
        <f>IFERROR(__xludf.DUMMYFUNCTION("""COMPUTED_VALUE"""),5.0)</f>
        <v>5</v>
      </c>
      <c r="C56" s="2">
        <f>IFERROR(__xludf.DUMMYFUNCTION("""COMPUTED_VALUE"""),3.0)</f>
        <v>3</v>
      </c>
      <c r="D56" s="2" t="str">
        <f>IFERROR(__xludf.DUMMYFUNCTION("""COMPUTED_VALUE"""),"R1 / R3")</f>
        <v>R1 / R3</v>
      </c>
      <c r="E56" s="2" t="str">
        <f>IFERROR(__xludf.DUMMYFUNCTION("""COMPUTED_VALUE"""),"General Challenges and Recommendations")</f>
        <v>General Challenges and Recommendations</v>
      </c>
      <c r="F56" s="2" t="str">
        <f>IFERROR(__xludf.DUMMYFUNCTION("""COMPUTED_VALUE"""),"challenge")</f>
        <v>challenge</v>
      </c>
      <c r="G56" s="3" t="str">
        <f>IFERROR(__xludf.DUMMYFUNCTION("""COMPUTED_VALUE"""),"a preparação do curso é bem difícil [...] não vai ter tanto paper assim, artigo, porque é muito novo. 
 ")</f>
        <v>a preparação do curso é bem difícil [...] não vai ter tanto paper assim, artigo, porque é muito novo. 
 </v>
      </c>
      <c r="H56" s="3" t="str">
        <f>IFERROR(__xludf.DUMMYFUNCTION("""COMPUTED_VALUE"""),"There are not so many scientific articles on which to base course preparation.")</f>
        <v>There are not so many scientific articles on which to base course preparation.</v>
      </c>
      <c r="I56" s="2" t="s">
        <v>2901</v>
      </c>
    </row>
    <row r="57">
      <c r="A57" s="48" t="s">
        <v>2902</v>
      </c>
      <c r="B57" s="2">
        <f>IFERROR(__xludf.DUMMYFUNCTION("""COMPUTED_VALUE"""),5.0)</f>
        <v>5</v>
      </c>
      <c r="C57" s="2">
        <f>IFERROR(__xludf.DUMMYFUNCTION("""COMPUTED_VALUE"""),4.0)</f>
        <v>4</v>
      </c>
      <c r="D57" s="2" t="str">
        <f>IFERROR(__xludf.DUMMYFUNCTION("""COMPUTED_VALUE"""),"R1 / R3")</f>
        <v>R1 / R3</v>
      </c>
      <c r="E57" s="2" t="str">
        <f>IFERROR(__xludf.DUMMYFUNCTION("""COMPUTED_VALUE"""),"General Challenges and Recommendations")</f>
        <v>General Challenges and Recommendations</v>
      </c>
      <c r="F57" s="2" t="str">
        <f>IFERROR(__xludf.DUMMYFUNCTION("""COMPUTED_VALUE"""),"challenge")</f>
        <v>challenge</v>
      </c>
      <c r="G57" s="3" t="str">
        <f>IFERROR(__xludf.DUMMYFUNCTION("""COMPUTED_VALUE"""),"Quando você vai configurar as ferramentas e tal, como você foi quem desenvolveu o sistema, fica mais fácil, acredito eu de você entender todas as automações e tal, mas ao mesmo tempo eu vejo que a galera tem muita dificuldade em fazer. ")</f>
        <v>Quando você vai configurar as ferramentas e tal, como você foi quem desenvolveu o sistema, fica mais fácil, acredito eu de você entender todas as automações e tal, mas ao mesmo tempo eu vejo que a galera tem muita dificuldade em fazer. </v>
      </c>
      <c r="H57" s="3" t="str">
        <f>IFERROR(__xludf.DUMMYFUNCTION("""COMPUTED_VALUE"""),"There is difficulty for students to carry out the automation of the construction of systems used during the course.")</f>
        <v>There is difficulty for students to carry out the automation of the construction of systems used during the course.</v>
      </c>
      <c r="I57" s="2" t="s">
        <v>2903</v>
      </c>
    </row>
    <row r="58">
      <c r="A58" s="48" t="s">
        <v>2904</v>
      </c>
      <c r="B58" s="2">
        <f>IFERROR(__xludf.DUMMYFUNCTION("""COMPUTED_VALUE"""),5.0)</f>
        <v>5</v>
      </c>
      <c r="C58" s="2">
        <f>IFERROR(__xludf.DUMMYFUNCTION("""COMPUTED_VALUE"""),4.0)</f>
        <v>4</v>
      </c>
      <c r="D58" s="2" t="str">
        <f>IFERROR(__xludf.DUMMYFUNCTION("""COMPUTED_VALUE"""),"R1 / R3")</f>
        <v>R1 / R3</v>
      </c>
      <c r="E58" s="2" t="str">
        <f>IFERROR(__xludf.DUMMYFUNCTION("""COMPUTED_VALUE"""),"General Challenges and Recommendations")</f>
        <v>General Challenges and Recommendations</v>
      </c>
      <c r="F58" s="2" t="str">
        <f>IFERROR(__xludf.DUMMYFUNCTION("""COMPUTED_VALUE"""),"challenge")</f>
        <v>challenge</v>
      </c>
      <c r="G58" s="3" t="str">
        <f>IFERROR(__xludf.DUMMYFUNCTION("""COMPUTED_VALUE"""),"essa parte do sistema, que eu peço pra eles fazerem para acompanhar a disciplina, [...] tá, eu vou dar um sistema, vai ser um sistema open source? Eu também eh, sabe? Já que eu posso dar um sistema, vamos usar um sistema de verdade, que não seja algo de b"&amp;"rincadeira. Então, tipo, eu penso num grande sistema open souce aí, que tenha teste, tenha uma porrada de coisa, tenha integração contínua e tenha não sei o que, e que você consiga selecionar a bateria de teste que vai ser usado em cada canto, sabe?")</f>
        <v>essa parte do sistema, que eu peço pra eles fazerem para acompanhar a disciplina, [...] tá, eu vou dar um sistema, vai ser um sistema open source? Eu também eh, sabe? Já que eu posso dar um sistema, vamos usar um sistema de verdade, que não seja algo de brincadeira. Então, tipo, eu penso num grande sistema open souce aí, que tenha teste, tenha uma porrada de coisa, tenha integração contínua e tenha não sei o que, e que você consiga selecionar a bateria de teste que vai ser usado em cada canto, sabe?</v>
      </c>
      <c r="H58" s="3" t="str">
        <f>IFERROR(__xludf.DUMMYFUNCTION("""COMPUTED_VALUE"""),"Difficulty selecting an example system realistic enough for students to use during the course.")</f>
        <v>Difficulty selecting an example system realistic enough for students to use during the course.</v>
      </c>
      <c r="I58" s="2" t="s">
        <v>2905</v>
      </c>
    </row>
    <row r="59">
      <c r="A59" s="48" t="s">
        <v>2906</v>
      </c>
      <c r="B59" s="2">
        <f>IFERROR(__xludf.DUMMYFUNCTION("""COMPUTED_VALUE"""),5.0)</f>
        <v>5</v>
      </c>
      <c r="C59" s="2">
        <f>IFERROR(__xludf.DUMMYFUNCTION("""COMPUTED_VALUE"""),5.0)</f>
        <v>5</v>
      </c>
      <c r="D59" s="2" t="str">
        <f>IFERROR(__xludf.DUMMYFUNCTION("""COMPUTED_VALUE"""),"R1 / R3")</f>
        <v>R1 / R3</v>
      </c>
      <c r="E59" s="2" t="str">
        <f>IFERROR(__xludf.DUMMYFUNCTION("""COMPUTED_VALUE"""),"General Challenges and Recommendations")</f>
        <v>General Challenges and Recommendations</v>
      </c>
      <c r="F59" s="2" t="str">
        <f>IFERROR(__xludf.DUMMYFUNCTION("""COMPUTED_VALUE"""),"challenge")</f>
        <v>challenge</v>
      </c>
      <c r="G59" s="3" t="str">
        <f>IFERROR(__xludf.DUMMYFUNCTION("""COMPUTED_VALUE"""),"Assim, porque aí, se eu fizer esse sistema, eu posso passar pro pessoal de forma bem mais simples, né? Como é que fazem as coisas e tal, mas aí a gente sabe também que tem os desafios, né? Poxa, isso não é tão simples assim, será que eu vou ter tempo pra "&amp;"fazer, né? ")</f>
        <v>Assim, porque aí, se eu fizer esse sistema, eu posso passar pro pessoal de forma bem mais simples, né? Como é que fazem as coisas e tal, mas aí a gente sabe também que tem os desafios, né? Poxa, isso não é tão simples assim, será que eu vou ter tempo pra fazer, né? </v>
      </c>
      <c r="H59" s="3" t="str">
        <f>IFERROR(__xludf.DUMMYFUNCTION("""COMPUTED_VALUE"""),"Lack of time for teachers to develop a ready-made and well-crafted example system.")</f>
        <v>Lack of time for teachers to develop a ready-made and well-crafted example system.</v>
      </c>
      <c r="I59" s="2" t="s">
        <v>2907</v>
      </c>
    </row>
    <row r="60">
      <c r="A60" s="48" t="s">
        <v>2908</v>
      </c>
      <c r="B60" s="2">
        <f>IFERROR(__xludf.DUMMYFUNCTION("""COMPUTED_VALUE"""),5.0)</f>
        <v>5</v>
      </c>
      <c r="C60" s="2">
        <f>IFERROR(__xludf.DUMMYFUNCTION("""COMPUTED_VALUE"""),5.0)</f>
        <v>5</v>
      </c>
      <c r="D60" s="2" t="str">
        <f>IFERROR(__xludf.DUMMYFUNCTION("""COMPUTED_VALUE"""),"R1 / R3")</f>
        <v>R1 / R3</v>
      </c>
      <c r="E60" s="2" t="str">
        <f>IFERROR(__xludf.DUMMYFUNCTION("""COMPUTED_VALUE"""),"General Challenges and Recommendations")</f>
        <v>General Challenges and Recommendations</v>
      </c>
      <c r="F60" s="2" t="str">
        <f>IFERROR(__xludf.DUMMYFUNCTION("""COMPUTED_VALUE"""),"challenge")</f>
        <v>challenge</v>
      </c>
      <c r="G60" s="3" t="str">
        <f>IFERROR(__xludf.DUMMYFUNCTION("""COMPUTED_VALUE"""),"se eu fizer esse sistema [...]  Nós, professores, às vezes, não somos os programadores mais proficientes que existem, então talvez o que a gente escreva, não seja de acordo com o que tá rolando no mercado hoje. ")</f>
        <v>se eu fizer esse sistema [...]  Nós, professores, às vezes, não somos os programadores mais proficientes que existem, então talvez o que a gente escreva, não seja de acordo com o que tá rolando no mercado hoje. </v>
      </c>
      <c r="H60" s="3" t="str">
        <f>IFERROR(__xludf.DUMMYFUNCTION("""COMPUTED_VALUE"""),"Difficulty for teachers to keep up with the state of the art in the industry.")</f>
        <v>Difficulty for teachers to keep up with the state of the art in the industry.</v>
      </c>
      <c r="I60" s="2" t="s">
        <v>2909</v>
      </c>
    </row>
    <row r="61">
      <c r="A61" s="48" t="s">
        <v>2910</v>
      </c>
      <c r="B61" s="2">
        <f>IFERROR(__xludf.DUMMYFUNCTION("""COMPUTED_VALUE"""),5.0)</f>
        <v>5</v>
      </c>
      <c r="C61" s="2">
        <f>IFERROR(__xludf.DUMMYFUNCTION("""COMPUTED_VALUE"""),6.0)</f>
        <v>6</v>
      </c>
      <c r="D61" s="2" t="str">
        <f>IFERROR(__xludf.DUMMYFUNCTION("""COMPUTED_VALUE"""),"R1 / R2")</f>
        <v>R1 / R2</v>
      </c>
      <c r="E61" s="2" t="str">
        <f>IFERROR(__xludf.DUMMYFUNCTION("""COMPUTED_VALUE"""),"Environment Setup")</f>
        <v>Environment Setup</v>
      </c>
      <c r="F61" s="2" t="str">
        <f>IFERROR(__xludf.DUMMYFUNCTION("""COMPUTED_VALUE"""),"challenge")</f>
        <v>challenge</v>
      </c>
      <c r="G61" s="3" t="str">
        <f>IFERROR(__xludf.DUMMYFUNCTION("""COMPUTED_VALUE"""),"[...] acabou que muita gente fez em [...] diferentes ambientes [...] pra gente, professor, muitas vezes a gente não tem proficiência em todos esses  ")</f>
        <v>[...] acabou que muita gente fez em [...] diferentes ambientes [...] pra gente, professor, muitas vezes a gente não tem proficiência em todos esses  </v>
      </c>
      <c r="H61" s="3" t="str">
        <f>IFERROR(__xludf.DUMMYFUNCTION("""COMPUTED_VALUE"""),"Difficulty supporting the use of several different tools and environments at the same time.")</f>
        <v>Difficulty supporting the use of several different tools and environments at the same time.</v>
      </c>
      <c r="I61" s="2" t="s">
        <v>2911</v>
      </c>
    </row>
    <row r="62">
      <c r="A62" s="48" t="s">
        <v>2912</v>
      </c>
      <c r="B62" s="2">
        <f>IFERROR(__xludf.DUMMYFUNCTION("""COMPUTED_VALUE"""),5.0)</f>
        <v>5</v>
      </c>
      <c r="C62" s="2">
        <f>IFERROR(__xludf.DUMMYFUNCTION("""COMPUTED_VALUE"""),7.0)</f>
        <v>7</v>
      </c>
      <c r="D62" s="2" t="str">
        <f>IFERROR(__xludf.DUMMYFUNCTION("""COMPUTED_VALUE"""),"R2 / R3")</f>
        <v>R2 / R3</v>
      </c>
      <c r="E62" s="2" t="str">
        <f>IFERROR(__xludf.DUMMYFUNCTION("""COMPUTED_VALUE"""),"Environment Setup")</f>
        <v>Environment Setup</v>
      </c>
      <c r="F62" s="2" t="str">
        <f>IFERROR(__xludf.DUMMYFUNCTION("""COMPUTED_VALUE"""),"challenge")</f>
        <v>challenge</v>
      </c>
      <c r="G62" s="3" t="str">
        <f>IFERROR(__xludf.DUMMYFUNCTION("""COMPUTED_VALUE"""),"Aí o rapaz vai numa semana só já vai ter o seu ambiente inteiro montado, né? Mas, isso gera desafios também, né? Que vai ter dificuldade pra fazer isso e tal. ")</f>
        <v>Aí o rapaz vai numa semana só já vai ter o seu ambiente inteiro montado, né? Mas, isso gera desafios também, né? Que vai ter dificuldade pra fazer isso e tal. </v>
      </c>
      <c r="H62" s="3" t="str">
        <f>IFERROR(__xludf.DUMMYFUNCTION("""COMPUTED_VALUE"""),"A lot of time preparing the initial environment setup of students.")</f>
        <v>A lot of time preparing the initial environment setup of students.</v>
      </c>
      <c r="I62" s="2" t="s">
        <v>2913</v>
      </c>
    </row>
    <row r="63">
      <c r="A63" s="48" t="s">
        <v>2914</v>
      </c>
      <c r="B63" s="2">
        <f>IFERROR(__xludf.DUMMYFUNCTION("""COMPUTED_VALUE"""),5.0)</f>
        <v>5</v>
      </c>
      <c r="C63" s="2">
        <f>IFERROR(__xludf.DUMMYFUNCTION("""COMPUTED_VALUE"""),9.0)</f>
        <v>9</v>
      </c>
      <c r="D63" s="2" t="str">
        <f>IFERROR(__xludf.DUMMYFUNCTION("""COMPUTED_VALUE"""),"R1 / R3")</f>
        <v>R1 / R3</v>
      </c>
      <c r="E63" s="2" t="str">
        <f>IFERROR(__xludf.DUMMYFUNCTION("""COMPUTED_VALUE"""),"Class Preparation")</f>
        <v>Class Preparation</v>
      </c>
      <c r="F63" s="2" t="str">
        <f>IFERROR(__xludf.DUMMYFUNCTION("""COMPUTED_VALUE"""),"challenge")</f>
        <v>challenge</v>
      </c>
      <c r="G63" s="3" t="str">
        <f>IFERROR(__xludf.DUMMYFUNCTION("""COMPUTED_VALUE"""),"Heterogeneidade de material, é o maior desafio. É você ter que montar uma aula costurando as fontes, né?")</f>
        <v>Heterogeneidade de material, é o maior desafio. É você ter que montar uma aula costurando as fontes, né?</v>
      </c>
      <c r="H63" s="3" t="str">
        <f>IFERROR(__xludf.DUMMYFUNCTION("""COMPUTED_VALUE"""),"There is no unified material for teaching DevOps.")</f>
        <v>There is no unified material for teaching DevOps.</v>
      </c>
      <c r="I63" s="2" t="s">
        <v>2915</v>
      </c>
    </row>
    <row r="64">
      <c r="A64" s="48" t="s">
        <v>2916</v>
      </c>
      <c r="B64" s="2">
        <f>IFERROR(__xludf.DUMMYFUNCTION("""COMPUTED_VALUE"""),5.0)</f>
        <v>5</v>
      </c>
      <c r="C64" s="2">
        <f>IFERROR(__xludf.DUMMYFUNCTION("""COMPUTED_VALUE"""),11.0)</f>
        <v>11</v>
      </c>
      <c r="D64" s="2" t="str">
        <f>IFERROR(__xludf.DUMMYFUNCTION("""COMPUTED_VALUE"""),"R1 / R2")</f>
        <v>R1 / R2</v>
      </c>
      <c r="E64" s="2" t="str">
        <f>IFERROR(__xludf.DUMMYFUNCTION("""COMPUTED_VALUE"""),"Tool / Technology")</f>
        <v>Tool / Technology</v>
      </c>
      <c r="F64" s="2" t="str">
        <f>IFERROR(__xludf.DUMMYFUNCTION("""COMPUTED_VALUE"""),"challenge")</f>
        <v>challenge</v>
      </c>
      <c r="G64" s="3" t="str">
        <f>IFERROR(__xludf.DUMMYFUNCTION("""COMPUTED_VALUE"""),"uma dificuldade das tecnologias, é reconhecer o que é relevante ser abordado em sala de aula, não é? Então, por exemplo, tem muita tecnologia no mercado. ")</f>
        <v>uma dificuldade das tecnologias, é reconhecer o que é relevante ser abordado em sala de aula, não é? Então, por exemplo, tem muita tecnologia no mercado. </v>
      </c>
      <c r="H64" s="3" t="str">
        <f>IFERROR(__xludf.DUMMYFUNCTION("""COMPUTED_VALUE"""),"Difficulty in deciding which technologies to teach, given the wide variety available on the market.")</f>
        <v>Difficulty in deciding which technologies to teach, given the wide variety available on the market.</v>
      </c>
      <c r="I64" s="2" t="s">
        <v>2917</v>
      </c>
    </row>
    <row r="65">
      <c r="A65" s="48" t="s">
        <v>2918</v>
      </c>
      <c r="B65" s="2">
        <f>IFERROR(__xludf.DUMMYFUNCTION("""COMPUTED_VALUE"""),5.0)</f>
        <v>5</v>
      </c>
      <c r="C65" s="2">
        <f>IFERROR(__xludf.DUMMYFUNCTION("""COMPUTED_VALUE"""),11.0)</f>
        <v>11</v>
      </c>
      <c r="D65" s="2" t="str">
        <f>IFERROR(__xludf.DUMMYFUNCTION("""COMPUTED_VALUE"""),"R1 / R2")</f>
        <v>R1 / R2</v>
      </c>
      <c r="E65" s="2" t="str">
        <f>IFERROR(__xludf.DUMMYFUNCTION("""COMPUTED_VALUE"""),"Tool / Technology")</f>
        <v>Tool / Technology</v>
      </c>
      <c r="F65" s="2" t="str">
        <f>IFERROR(__xludf.DUMMYFUNCTION("""COMPUTED_VALUE"""),"challenge")</f>
        <v>challenge</v>
      </c>
      <c r="G65" s="3" t="str">
        <f>IFERROR(__xludf.DUMMYFUNCTION("""COMPUTED_VALUE"""),"se você for fazer esse CI na nuvem, de forma comercial, você vai ter que pagar, não é de graça. De graça só aqui pra gente ficar brincando, certo? Mas se você quiser colocar o sistema da sua empresa pra fazer não sei quantas integrações por semana, você v"&amp;"ai ter que pagar por isso. ")</f>
        <v>se você for fazer esse CI na nuvem, de forma comercial, você vai ter que pagar, não é de graça. De graça só aqui pra gente ficar brincando, certo? Mas se você quiser colocar o sistema da sua empresa pra fazer não sei quantas integrações por semana, você vai ter que pagar por isso. </v>
      </c>
      <c r="H65" s="3" t="str">
        <f>IFERROR(__xludf.DUMMYFUNCTION("""COMPUTED_VALUE"""),"Using cloud services more professionally requires payment at a commercial level.")</f>
        <v>Using cloud services more professionally requires payment at a commercial level.</v>
      </c>
      <c r="I65" s="2" t="s">
        <v>2919</v>
      </c>
    </row>
    <row r="66">
      <c r="A66" s="48" t="s">
        <v>2920</v>
      </c>
      <c r="B66" s="2">
        <f>IFERROR(__xludf.DUMMYFUNCTION("""COMPUTED_VALUE"""),5.0)</f>
        <v>5</v>
      </c>
      <c r="C66" s="2">
        <f>IFERROR(__xludf.DUMMYFUNCTION("""COMPUTED_VALUE"""),13.0)</f>
        <v>13</v>
      </c>
      <c r="D66" s="2" t="str">
        <f>IFERROR(__xludf.DUMMYFUNCTION("""COMPUTED_VALUE"""),"R1 / R3")</f>
        <v>R1 / R3</v>
      </c>
      <c r="E66" s="2" t="str">
        <f>IFERROR(__xludf.DUMMYFUNCTION("""COMPUTED_VALUE"""),"Curriculum")</f>
        <v>Curriculum</v>
      </c>
      <c r="F66" s="2" t="str">
        <f>IFERROR(__xludf.DUMMYFUNCTION("""COMPUTED_VALUE"""),"challenge")</f>
        <v>challenge</v>
      </c>
      <c r="G66" s="3" t="str">
        <f>IFERROR(__xludf.DUMMYFUNCTION("""COMPUTED_VALUE"""),"quando eu dei a o curso de DevOps no mestrado, foi DevOps do começo ao fim, né? Então, eu tive que decidir tudo que ia entrar no conteúdo, tem muita coisa que ficou de fora")</f>
        <v>quando eu dei a o curso de DevOps no mestrado, foi DevOps do começo ao fim, né? Então, eu tive que decidir tudo que ia entrar no conteúdo, tem muita coisa que ficou de fora</v>
      </c>
      <c r="H66" s="3" t="str">
        <f>IFERROR(__xludf.DUMMYFUNCTION("""COMPUTED_VALUE"""),"There is a limited amount of time to teach the devops content.")</f>
        <v>There is a limited amount of time to teach the devops content.</v>
      </c>
      <c r="I66" s="2" t="s">
        <v>2921</v>
      </c>
    </row>
    <row r="67">
      <c r="A67" s="48" t="s">
        <v>2922</v>
      </c>
      <c r="B67" s="2">
        <f>IFERROR(__xludf.DUMMYFUNCTION("""COMPUTED_VALUE"""),5.0)</f>
        <v>5</v>
      </c>
      <c r="C67" s="2">
        <f>IFERROR(__xludf.DUMMYFUNCTION("""COMPUTED_VALUE"""),13.0)</f>
        <v>13</v>
      </c>
      <c r="D67" s="2" t="str">
        <f>IFERROR(__xludf.DUMMYFUNCTION("""COMPUTED_VALUE"""),"R1 / R3")</f>
        <v>R1 / R3</v>
      </c>
      <c r="E67" s="2" t="str">
        <f>IFERROR(__xludf.DUMMYFUNCTION("""COMPUTED_VALUE"""),"Curriculum")</f>
        <v>Curriculum</v>
      </c>
      <c r="F67" s="2" t="str">
        <f>IFERROR(__xludf.DUMMYFUNCTION("""COMPUTED_VALUE"""),"challenge")</f>
        <v>challenge</v>
      </c>
      <c r="G67" s="3" t="str">
        <f>IFERROR(__xludf.DUMMYFUNCTION("""COMPUTED_VALUE"""),"o maior desafio é esse, tipo, o que que entra, sabe? Tem muita coisa que a galera faz dentro do Pipeline de DevOps hoje em dia, que não necessariamente entra num curso de DevOps, né? ")</f>
        <v>o maior desafio é esse, tipo, o que que entra, sabe? Tem muita coisa que a galera faz dentro do Pipeline de DevOps hoje em dia, que não necessariamente entra num curso de DevOps, né? </v>
      </c>
      <c r="H67" s="3" t="str">
        <f>IFERROR(__xludf.DUMMYFUNCTION("""COMPUTED_VALUE"""),"There is no convention as to what are the main DevOps concepts that should be taught.")</f>
        <v>There is no convention as to what are the main DevOps concepts that should be taught.</v>
      </c>
      <c r="I67" s="2" t="s">
        <v>2923</v>
      </c>
    </row>
    <row r="68">
      <c r="A68" s="48" t="s">
        <v>2924</v>
      </c>
      <c r="B68" s="2">
        <f>IFERROR(__xludf.DUMMYFUNCTION("""COMPUTED_VALUE"""),5.0)</f>
        <v>5</v>
      </c>
      <c r="C68" s="2">
        <f>IFERROR(__xludf.DUMMYFUNCTION("""COMPUTED_VALUE"""),14.0)</f>
        <v>14</v>
      </c>
      <c r="D68" s="2" t="str">
        <f>IFERROR(__xludf.DUMMYFUNCTION("""COMPUTED_VALUE"""),"R1 / R3")</f>
        <v>R1 / R3</v>
      </c>
      <c r="E68" s="2" t="str">
        <f>IFERROR(__xludf.DUMMYFUNCTION("""COMPUTED_VALUE"""),"Pedagogy")</f>
        <v>Pedagogy</v>
      </c>
      <c r="F68" s="2" t="str">
        <f>IFERROR(__xludf.DUMMYFUNCTION("""COMPUTED_VALUE"""),"challenge")</f>
        <v>challenge</v>
      </c>
      <c r="G68" s="3" t="str">
        <f>IFERROR(__xludf.DUMMYFUNCTION("""COMPUTED_VALUE"""),"Porque você pega tanta coisa diferente que eu fico meio com pena, entre aspas, de passar tudo pros alunos. ... Então, eu acho que uma dificuldade, do ponto de vista, assim, tipo pedagógico da montagem das aulas e tal. Seria isso, a condensação de tudo, va"&amp;"mos dizer, a centralização do material no que você produziu, certo? ")</f>
        <v>Porque você pega tanta coisa diferente que eu fico meio com pena, entre aspas, de passar tudo pros alunos. ... Então, eu acho que uma dificuldade, do ponto de vista, assim, tipo pedagógico da montagem das aulas e tal. Seria isso, a condensação de tudo, vamos dizer, a centralização do material no que você produziu, certo? </v>
      </c>
      <c r="H68" s="3" t="str">
        <f>IFERROR(__xludf.DUMMYFUNCTION("""COMPUTED_VALUE"""),"Difficulty in resuming sufficient and suitable material for class lessons.")</f>
        <v>Difficulty in resuming sufficient and suitable material for class lessons.</v>
      </c>
      <c r="I68" s="2" t="s">
        <v>2925</v>
      </c>
    </row>
    <row r="69">
      <c r="A69" s="48" t="s">
        <v>2926</v>
      </c>
      <c r="B69" s="2">
        <f>IFERROR(__xludf.DUMMYFUNCTION("""COMPUTED_VALUE"""),5.0)</f>
        <v>5</v>
      </c>
      <c r="C69" s="2">
        <f>IFERROR(__xludf.DUMMYFUNCTION("""COMPUTED_VALUE"""),14.0)</f>
        <v>14</v>
      </c>
      <c r="D69" s="2" t="str">
        <f>IFERROR(__xludf.DUMMYFUNCTION("""COMPUTED_VALUE"""),"R1 / R3")</f>
        <v>R1 / R3</v>
      </c>
      <c r="E69" s="2" t="str">
        <f>IFERROR(__xludf.DUMMYFUNCTION("""COMPUTED_VALUE"""),"Pedagogy")</f>
        <v>Pedagogy</v>
      </c>
      <c r="F69" s="2" t="str">
        <f>IFERROR(__xludf.DUMMYFUNCTION("""COMPUTED_VALUE"""),"challenge")</f>
        <v>challenge</v>
      </c>
      <c r="G69" s="3" t="str">
        <f>IFERROR(__xludf.DUMMYFUNCTION("""COMPUTED_VALUE"""),"E às vezes você pegou um pouquinho de uma coisa tal, né? Nem todo aquele texto era relevante, sabe? Então, acaba que o seu material acaba virando a única fonte, vamos dizer assim. Para os alunos, eu já percebi isso, assim, sabe? O pessoal estudava e tal, "&amp;"ia muito pelo material que eu preparava. Quando o material que eu preparava era, vamos dizer assim, era um conjunto de slides, né? Que não serve tanto, assim, do ponto de vista, né, de você ter uma leitura um pouco mais aprofundada e tal. Então, eu acho q"&amp;"ue uma dificuldade, do ponto de vista, assim, tipo pedagógico da montagem das aulas e tal")</f>
        <v>E às vezes você pegou um pouquinho de uma coisa tal, né? Nem todo aquele texto era relevante, sabe? Então, acaba que o seu material acaba virando a única fonte, vamos dizer assim. Para os alunos, eu já percebi isso, assim, sabe? O pessoal estudava e tal, ia muito pelo material que eu preparava. Quando o material que eu preparava era, vamos dizer assim, era um conjunto de slides, né? Que não serve tanto, assim, do ponto de vista, né, de você ter uma leitura um pouco mais aprofundada e tal. Então, eu acho que uma dificuldade, do ponto de vista, assim, tipo pedagógico da montagem das aulas e tal</v>
      </c>
      <c r="H69" s="3" t="str">
        <f>IFERROR(__xludf.DUMMYFUNCTION("""COMPUTED_VALUE"""),"Students rely heavily on the teacher's slide material, which is often limited.")</f>
        <v>Students rely heavily on the teacher's slide material, which is often limited.</v>
      </c>
      <c r="I69" s="2" t="s">
        <v>2927</v>
      </c>
    </row>
    <row r="70">
      <c r="A70" s="48" t="s">
        <v>2928</v>
      </c>
      <c r="B70" s="2">
        <f>IFERROR(__xludf.DUMMYFUNCTION("""COMPUTED_VALUE"""),6.0)</f>
        <v>6</v>
      </c>
      <c r="C70" s="2">
        <f>IFERROR(__xludf.DUMMYFUNCTION("""COMPUTED_VALUE"""),1.0)</f>
        <v>1</v>
      </c>
      <c r="D70" s="2" t="str">
        <f>IFERROR(__xludf.DUMMYFUNCTION("""COMPUTED_VALUE"""),"R1 / R2")</f>
        <v>R1 / R2</v>
      </c>
      <c r="E70" s="2" t="str">
        <f>IFERROR(__xludf.DUMMYFUNCTION("""COMPUTED_VALUE"""),"General Challenges and Recommendations")</f>
        <v>General Challenges and Recommendations</v>
      </c>
      <c r="F70" s="2" t="str">
        <f>IFERROR(__xludf.DUMMYFUNCTION("""COMPUTED_VALUE"""),"challenge")</f>
        <v>challenge</v>
      </c>
      <c r="G70" s="3" t="str">
        <f>IFERROR(__xludf.DUMMYFUNCTION("""COMPUTED_VALUE"""),"dar essa visão de que Devops não é só ferramenta [...] tá muito alinhado com o movimento ágil[...]")</f>
        <v>dar essa visão de que Devops não é só ferramenta [...] tá muito alinhado com o movimento ágil[...]</v>
      </c>
      <c r="H70" s="3" t="str">
        <f>IFERROR(__xludf.DUMMYFUNCTION("""COMPUTED_VALUE"""),"Difficulty in being able to explain to the student that DevOps does not involve only the tooling part.")</f>
        <v>Difficulty in being able to explain to the student that DevOps does not involve only the tooling part.</v>
      </c>
      <c r="I70" s="2" t="s">
        <v>2929</v>
      </c>
    </row>
    <row r="71">
      <c r="A71" s="48" t="s">
        <v>2930</v>
      </c>
      <c r="B71" s="2">
        <f>IFERROR(__xludf.DUMMYFUNCTION("""COMPUTED_VALUE"""),6.0)</f>
        <v>6</v>
      </c>
      <c r="C71" s="2">
        <f>IFERROR(__xludf.DUMMYFUNCTION("""COMPUTED_VALUE"""),1.0)</f>
        <v>1</v>
      </c>
      <c r="D71" s="2" t="str">
        <f>IFERROR(__xludf.DUMMYFUNCTION("""COMPUTED_VALUE"""),"R1 / R2")</f>
        <v>R1 / R2</v>
      </c>
      <c r="E71" s="2" t="str">
        <f>IFERROR(__xludf.DUMMYFUNCTION("""COMPUTED_VALUE"""),"General Challenges and Recommendations")</f>
        <v>General Challenges and Recommendations</v>
      </c>
      <c r="F71" s="2" t="str">
        <f>IFERROR(__xludf.DUMMYFUNCTION("""COMPUTED_VALUE"""),"challenge")</f>
        <v>challenge</v>
      </c>
      <c r="G71" s="3" t="str">
        <f>IFERROR(__xludf.DUMMYFUNCTION("""COMPUTED_VALUE"""),"Como fazer aplicar essas coisas do Devops nas empresas [...] existe uma grande dificuldade que é cultural. As empresas sempre se organizaram dessa maneira, de separar movimento de infra, de não ter colaboração de não ter comunicação e tal e isso acaba ger"&amp;"ando atritos, principalmente quando surgem problemas. [...] ir mudando um pouquinho a cultura da empresa, o processo, o jeito que as pessoas se organizam, se reúnem, e tal, tentando tirar ali as barreiras, até que seja natural e ambos os times trabalhem j"&amp;"untos [...] com um único objetivo, que é desenvolver, entregar software que funciona e resolver problemas o mais rápido possível.")</f>
        <v>Como fazer aplicar essas coisas do Devops nas empresas [...] existe uma grande dificuldade que é cultural. As empresas sempre se organizaram dessa maneira, de separar movimento de infra, de não ter colaboração de não ter comunicação e tal e isso acaba gerando atritos, principalmente quando surgem problemas. [...] ir mudando um pouquinho a cultura da empresa, o processo, o jeito que as pessoas se organizam, se reúnem, e tal, tentando tirar ali as barreiras, até que seja natural e ambos os times trabalhem juntos [...] com um único objetivo, que é desenvolver, entregar software que funciona e resolver problemas o mais rápido possível.</v>
      </c>
      <c r="H71" s="3" t="str">
        <f>IFERROR(__xludf.DUMMYFUNCTION("""COMPUTED_VALUE"""),"Difficulty breaking through resistance to the DevOps culture and its principles.")</f>
        <v>Difficulty breaking through resistance to the DevOps culture and its principles.</v>
      </c>
      <c r="I71" s="2" t="s">
        <v>2931</v>
      </c>
    </row>
    <row r="72">
      <c r="A72" s="48" t="s">
        <v>2932</v>
      </c>
      <c r="B72" s="2">
        <f>IFERROR(__xludf.DUMMYFUNCTION("""COMPUTED_VALUE"""),6.0)</f>
        <v>6</v>
      </c>
      <c r="C72" s="2">
        <f>IFERROR(__xludf.DUMMYFUNCTION("""COMPUTED_VALUE"""),2.0)</f>
        <v>2</v>
      </c>
      <c r="D72" s="2" t="str">
        <f>IFERROR(__xludf.DUMMYFUNCTION("""COMPUTED_VALUE"""),"R2 / R3")</f>
        <v>R2 / R3</v>
      </c>
      <c r="E72" s="2" t="str">
        <f>IFERROR(__xludf.DUMMYFUNCTION("""COMPUTED_VALUE"""),"DevOps Concepts")</f>
        <v>DevOps Concepts</v>
      </c>
      <c r="F72" s="2" t="str">
        <f>IFERROR(__xludf.DUMMYFUNCTION("""COMPUTED_VALUE"""),"challenge")</f>
        <v>challenge</v>
      </c>
      <c r="G72" s="3" t="str">
        <f>IFERROR(__xludf.DUMMYFUNCTION("""COMPUTED_VALUE"""),"Tentar mostrar que devops não é só ferramentas, tentar fazer as pessoas entenderem isso e tentar mudar a durante a aula, assim, tentar da melhor maneira possível fazer com que as pessoas percebam, né? Que elas vão acabar tendo que ir mudando a cultura ali"&amp;" do ambiente, né? Os processos, a maneira que elas se organizam.")</f>
        <v>Tentar mostrar que devops não é só ferramentas, tentar fazer as pessoas entenderem isso e tentar mudar a durante a aula, assim, tentar da melhor maneira possível fazer com que as pessoas percebam, né? Que elas vão acabar tendo que ir mudando a cultura ali do ambiente, né? Os processos, a maneira que elas se organizam.</v>
      </c>
      <c r="H72" s="3" t="str">
        <f>IFERROR(__xludf.DUMMYFUNCTION("""COMPUTED_VALUE"""),"Difficulty breaking the student perspective that DevOps is just tools and automation.")</f>
        <v>Difficulty breaking the student perspective that DevOps is just tools and automation.</v>
      </c>
      <c r="I72" s="2" t="s">
        <v>2933</v>
      </c>
    </row>
    <row r="73">
      <c r="A73" s="48" t="s">
        <v>2934</v>
      </c>
      <c r="B73" s="2">
        <f>IFERROR(__xludf.DUMMYFUNCTION("""COMPUTED_VALUE"""),6.0)</f>
        <v>6</v>
      </c>
      <c r="C73" s="2">
        <f>IFERROR(__xludf.DUMMYFUNCTION("""COMPUTED_VALUE"""),2.0)</f>
        <v>2</v>
      </c>
      <c r="D73" s="2" t="str">
        <f>IFERROR(__xludf.DUMMYFUNCTION("""COMPUTED_VALUE"""),"R2 / R3")</f>
        <v>R2 / R3</v>
      </c>
      <c r="E73" s="2" t="str">
        <f>IFERROR(__xludf.DUMMYFUNCTION("""COMPUTED_VALUE"""),"DevOps Concepts")</f>
        <v>DevOps Concepts</v>
      </c>
      <c r="F73" s="2" t="str">
        <f>IFERROR(__xludf.DUMMYFUNCTION("""COMPUTED_VALUE"""),"challenge")</f>
        <v>challenge</v>
      </c>
      <c r="G73" s="3" t="str">
        <f>IFERROR(__xludf.DUMMYFUNCTION("""COMPUTED_VALUE"""),"Tentar contextualizar também isso é bem difícil")</f>
        <v>Tentar contextualizar também isso é bem difícil</v>
      </c>
      <c r="H73" s="3" t="str">
        <f>IFERROR(__xludf.DUMMYFUNCTION("""COMPUTED_VALUE"""),"Difficulty contextualizing the DevOps culture.")</f>
        <v>Difficulty contextualizing the DevOps culture.</v>
      </c>
      <c r="I73" s="2" t="s">
        <v>2935</v>
      </c>
    </row>
    <row r="74">
      <c r="A74" s="48" t="s">
        <v>2936</v>
      </c>
      <c r="B74" s="2">
        <f>IFERROR(__xludf.DUMMYFUNCTION("""COMPUTED_VALUE"""),6.0)</f>
        <v>6</v>
      </c>
      <c r="C74" s="2">
        <f>IFERROR(__xludf.DUMMYFUNCTION("""COMPUTED_VALUE"""),2.0)</f>
        <v>2</v>
      </c>
      <c r="D74" s="2" t="str">
        <f>IFERROR(__xludf.DUMMYFUNCTION("""COMPUTED_VALUE"""),"R2 / R3")</f>
        <v>R2 / R3</v>
      </c>
      <c r="E74" s="2" t="str">
        <f>IFERROR(__xludf.DUMMYFUNCTION("""COMPUTED_VALUE"""),"DevOps Concepts")</f>
        <v>DevOps Concepts</v>
      </c>
      <c r="F74" s="2" t="str">
        <f>IFERROR(__xludf.DUMMYFUNCTION("""COMPUTED_VALUE"""),"challenge")</f>
        <v>challenge</v>
      </c>
      <c r="G74" s="3" t="str">
        <f>IFERROR(__xludf.DUMMYFUNCTION("""COMPUTED_VALUE"""),"cada, cada pessoa ali na aula, cada aluno e aluna traz uma vivência diferente, desafios distintos e tentar generalizar isso é mais complicado. ")</f>
        <v>cada, cada pessoa ali na aula, cada aluno e aluna traz uma vivência diferente, desafios distintos e tentar generalizar isso é mais complicado. </v>
      </c>
      <c r="H74" s="3" t="str">
        <f>IFERROR(__xludf.DUMMYFUNCTION("""COMPUTED_VALUE"""),"Dealing with the different experiences and perspectives of each student.")</f>
        <v>Dealing with the different experiences and perspectives of each student.</v>
      </c>
      <c r="I74" s="2" t="s">
        <v>2937</v>
      </c>
    </row>
    <row r="75">
      <c r="A75" s="48" t="s">
        <v>2938</v>
      </c>
      <c r="B75" s="2">
        <f>IFERROR(__xludf.DUMMYFUNCTION("""COMPUTED_VALUE"""),6.0)</f>
        <v>6</v>
      </c>
      <c r="C75" s="2">
        <f>IFERROR(__xludf.DUMMYFUNCTION("""COMPUTED_VALUE"""),3.0)</f>
        <v>3</v>
      </c>
      <c r="D75" s="2" t="str">
        <f>IFERROR(__xludf.DUMMYFUNCTION("""COMPUTED_VALUE"""),"R1 / R3")</f>
        <v>R1 / R3</v>
      </c>
      <c r="E75" s="2" t="str">
        <f>IFERROR(__xludf.DUMMYFUNCTION("""COMPUTED_VALUE"""),"Class Preparation")</f>
        <v>Class Preparation</v>
      </c>
      <c r="F75" s="2" t="str">
        <f>IFERROR(__xludf.DUMMYFUNCTION("""COMPUTED_VALUE"""),"challenge")</f>
        <v>challenge</v>
      </c>
      <c r="G75" s="3" t="str">
        <f>IFERROR(__xludf.DUMMYFUNCTION("""COMPUTED_VALUE"""),"essa área de devops é gigante também. Então, o treinamento é limitado ali, ti. É um treinamento de quarenta horas, né?")</f>
        <v>essa área de devops é gigante também. Então, o treinamento é limitado ali, ti. É um treinamento de quarenta horas, né?</v>
      </c>
      <c r="H75" s="3" t="str">
        <f>IFERROR(__xludf.DUMMYFUNCTION("""COMPUTED_VALUE"""),"Lots of DevOps content to teach with little time available (40 hours).")</f>
        <v>Lots of DevOps content to teach with little time available (40 hours).</v>
      </c>
      <c r="I75" s="2" t="s">
        <v>2939</v>
      </c>
    </row>
    <row r="76">
      <c r="A76" s="48" t="s">
        <v>2940</v>
      </c>
      <c r="B76" s="2">
        <f>IFERROR(__xludf.DUMMYFUNCTION("""COMPUTED_VALUE"""),6.0)</f>
        <v>6</v>
      </c>
      <c r="C76" s="2">
        <f>IFERROR(__xludf.DUMMYFUNCTION("""COMPUTED_VALUE"""),3.0)</f>
        <v>3</v>
      </c>
      <c r="D76" s="2" t="str">
        <f>IFERROR(__xludf.DUMMYFUNCTION("""COMPUTED_VALUE"""),"R1 / R3")</f>
        <v>R1 / R3</v>
      </c>
      <c r="E76" s="2" t="str">
        <f>IFERROR(__xludf.DUMMYFUNCTION("""COMPUTED_VALUE"""),"Class Preparation")</f>
        <v>Class Preparation</v>
      </c>
      <c r="F76" s="2" t="str">
        <f>IFERROR(__xludf.DUMMYFUNCTION("""COMPUTED_VALUE"""),"challenge")</f>
        <v>challenge</v>
      </c>
      <c r="G76" s="3" t="str">
        <f>IFERROR(__xludf.DUMMYFUNCTION("""COMPUTED_VALUE"""),"Essa parte de, de cultura e tal, que é uma parte, vamos dizer assim, mais chata, né? Que as pessoas vão lá querendo ver ferramentas, né? Então,  como balancear, né? Falar um pouco coisas não técnicas com coisas técnicas.")</f>
        <v>Essa parte de, de cultura e tal, que é uma parte, vamos dizer assim, mais chata, né? Que as pessoas vão lá querendo ver ferramentas, né? Então,  como balancear, né? Falar um pouco coisas não técnicas com coisas técnicas.</v>
      </c>
      <c r="H76" s="3" t="str">
        <f>IFERROR(__xludf.DUMMYFUNCTION("""COMPUTED_VALUE"""),"Difficulty in balancing the teaching of theory (culture) and practice (tools).")</f>
        <v>Difficulty in balancing the teaching of theory (culture) and practice (tools).</v>
      </c>
      <c r="I76" s="2" t="s">
        <v>2941</v>
      </c>
    </row>
    <row r="77">
      <c r="A77" s="48" t="s">
        <v>2942</v>
      </c>
      <c r="B77" s="2">
        <f>IFERROR(__xludf.DUMMYFUNCTION("""COMPUTED_VALUE"""),6.0)</f>
        <v>6</v>
      </c>
      <c r="C77" s="2">
        <f>IFERROR(__xludf.DUMMYFUNCTION("""COMPUTED_VALUE"""),5.0)</f>
        <v>5</v>
      </c>
      <c r="D77" s="2" t="str">
        <f>IFERROR(__xludf.DUMMYFUNCTION("""COMPUTED_VALUE"""),"R1 / R3")</f>
        <v>R1 / R3</v>
      </c>
      <c r="E77" s="2" t="str">
        <f>IFERROR(__xludf.DUMMYFUNCTION("""COMPUTED_VALUE"""),"Tool / Technology")</f>
        <v>Tool / Technology</v>
      </c>
      <c r="F77" s="2" t="str">
        <f>IFERROR(__xludf.DUMMYFUNCTION("""COMPUTED_VALUE"""),"challenge")</f>
        <v>challenge</v>
      </c>
      <c r="G77" s="3" t="str">
        <f>IFERROR(__xludf.DUMMYFUNCTION("""COMPUTED_VALUE"""),"porque o universo devops, tem milhões de ferramentas, de tecnologias e tal ... tem uma infinidade de ferramentas, tem todas atendem os os objetivos, são boas e tal.")</f>
        <v>porque o universo devops, tem milhões de ferramentas, de tecnologias e tal ... tem uma infinidade de ferramentas, tem todas atendem os os objetivos, são boas e tal.</v>
      </c>
      <c r="H77" s="3" t="str">
        <f>IFERROR(__xludf.DUMMYFUNCTION("""COMPUTED_VALUE"""),"There are many DevOps tools.")</f>
        <v>There are many DevOps tools.</v>
      </c>
      <c r="I77" s="2" t="s">
        <v>2943</v>
      </c>
    </row>
    <row r="78">
      <c r="A78" s="48" t="s">
        <v>2944</v>
      </c>
      <c r="B78" s="2">
        <f>IFERROR(__xludf.DUMMYFUNCTION("""COMPUTED_VALUE"""),6.0)</f>
        <v>6</v>
      </c>
      <c r="C78" s="2">
        <f>IFERROR(__xludf.DUMMYFUNCTION("""COMPUTED_VALUE"""),7.0)</f>
        <v>7</v>
      </c>
      <c r="D78" s="2" t="str">
        <f>IFERROR(__xludf.DUMMYFUNCTION("""COMPUTED_VALUE"""),"R2 / R3")</f>
        <v>R2 / R3</v>
      </c>
      <c r="E78" s="2" t="str">
        <f>IFERROR(__xludf.DUMMYFUNCTION("""COMPUTED_VALUE"""),"Curriculum")</f>
        <v>Curriculum</v>
      </c>
      <c r="F78" s="2" t="str">
        <f>IFERROR(__xludf.DUMMYFUNCTION("""COMPUTED_VALUE"""),"challenge")</f>
        <v>challenge</v>
      </c>
      <c r="G78" s="3" t="str">
        <f>IFERROR(__xludf.DUMMYFUNCTION("""COMPUTED_VALUE""")," o desafio é esse: ter a parte do não técnico com o técnico, ponderar os dois e abordar esses principais tópicos, né? ")</f>
        <v> o desafio é esse: ter a parte do não técnico com o técnico, ponderar os dois e abordar esses principais tópicos, né? </v>
      </c>
      <c r="H78" s="3" t="str">
        <f>IFERROR(__xludf.DUMMYFUNCTION("""COMPUTED_VALUE"""),"Challenge to balance theory and practice.")</f>
        <v>Challenge to balance theory and practice.</v>
      </c>
      <c r="I78" s="2" t="s">
        <v>2945</v>
      </c>
    </row>
    <row r="79">
      <c r="A79" s="48" t="s">
        <v>2946</v>
      </c>
      <c r="B79" s="2">
        <f>IFERROR(__xludf.DUMMYFUNCTION("""COMPUTED_VALUE"""),6.0)</f>
        <v>6</v>
      </c>
      <c r="C79" s="2">
        <f>IFERROR(__xludf.DUMMYFUNCTION("""COMPUTED_VALUE"""),8.0)</f>
        <v>8</v>
      </c>
      <c r="D79" s="2" t="str">
        <f>IFERROR(__xludf.DUMMYFUNCTION("""COMPUTED_VALUE"""),"R1 / R3")</f>
        <v>R1 / R3</v>
      </c>
      <c r="E79" s="2" t="str">
        <f>IFERROR(__xludf.DUMMYFUNCTION("""COMPUTED_VALUE"""),"Pedagogy")</f>
        <v>Pedagogy</v>
      </c>
      <c r="F79" s="2" t="str">
        <f>IFERROR(__xludf.DUMMYFUNCTION("""COMPUTED_VALUE"""),"challenge")</f>
        <v>challenge</v>
      </c>
      <c r="G79" s="3" t="str">
        <f>IFERROR(__xludf.DUMMYFUNCTION("""COMPUTED_VALUE"""),"Tem conceitos ali de colaboração, de comunicação, de organização que são um pouco subjetivos, né? Então, é um pouco mais difícil de você avaliar")</f>
        <v>Tem conceitos ali de colaboração, de comunicação, de organização que são um pouco subjetivos, né? Então, é um pouco mais difícil de você avaliar</v>
      </c>
      <c r="H79" s="3" t="str">
        <f>IFERROR(__xludf.DUMMYFUNCTION("""COMPUTED_VALUE"""),"The DevOps concepts collaboration, communication and organization are difficult to assess due to the high degree of subjectivity.")</f>
        <v>The DevOps concepts collaboration, communication and organization are difficult to assess due to the high degree of subjectivity.</v>
      </c>
      <c r="I79" s="2" t="s">
        <v>2947</v>
      </c>
    </row>
    <row r="80">
      <c r="A80" s="48" t="s">
        <v>2948</v>
      </c>
      <c r="B80" s="2">
        <f>IFERROR(__xludf.DUMMYFUNCTION("""COMPUTED_VALUE"""),6.0)</f>
        <v>6</v>
      </c>
      <c r="C80" s="2">
        <f>IFERROR(__xludf.DUMMYFUNCTION("""COMPUTED_VALUE"""),8.0)</f>
        <v>8</v>
      </c>
      <c r="D80" s="2" t="str">
        <f>IFERROR(__xludf.DUMMYFUNCTION("""COMPUTED_VALUE"""),"R1 / R3")</f>
        <v>R1 / R3</v>
      </c>
      <c r="E80" s="2" t="str">
        <f>IFERROR(__xludf.DUMMYFUNCTION("""COMPUTED_VALUE"""),"Pedagogy")</f>
        <v>Pedagogy</v>
      </c>
      <c r="F80" s="2" t="str">
        <f>IFERROR(__xludf.DUMMYFUNCTION("""COMPUTED_VALUE"""),"challenge")</f>
        <v>challenge</v>
      </c>
      <c r="G80" s="3" t="str">
        <f>IFERROR(__xludf.DUMMYFUNCTION("""COMPUTED_VALUE"""),"Outro desafio também, que [...] a gente mudou o nosso modelo que era presencial pra online, ao vivo. E aí, a gente tinha esse problema, né, que no curso tem um projeto, com determinadas tecnologias, só que, no nosso caso, a gente já tem um laboratório que"&amp;" já tá tudo instalado e configurado. Então, no caso, poxa, agora, é o aluno que vai fazer da casa dele, né, como é que ele vai configurar a infra com aquele projeto específico e sem ter dor de cabeça, isso não atrapalhar na aula. ")</f>
        <v>Outro desafio também, que [...] a gente mudou o nosso modelo que era presencial pra online, ao vivo. E aí, a gente tinha esse problema, né, que no curso tem um projeto, com determinadas tecnologias, só que, no nosso caso, a gente já tem um laboratório que já tá tudo instalado e configurado. Então, no caso, poxa, agora, é o aluno que vai fazer da casa dele, né, como é que ele vai configurar a infra com aquele projeto específico e sem ter dor de cabeça, isso não atrapalhar na aula. </v>
      </c>
      <c r="H80" s="3" t="str">
        <f>IFERROR(__xludf.DUMMYFUNCTION("""COMPUTED_VALUE"""),"Students find it difficult to configure the tools on their own machines in remote teaching mode.")</f>
        <v>Students find it difficult to configure the tools on their own machines in remote teaching mode.</v>
      </c>
      <c r="I80" s="2" t="s">
        <v>2949</v>
      </c>
    </row>
    <row r="81">
      <c r="A81" s="48" t="s">
        <v>2950</v>
      </c>
      <c r="B81" s="2">
        <f>IFERROR(__xludf.DUMMYFUNCTION("""COMPUTED_VALUE"""),7.0)</f>
        <v>7</v>
      </c>
      <c r="C81" s="2">
        <f>IFERROR(__xludf.DUMMYFUNCTION("""COMPUTED_VALUE"""),1.0)</f>
        <v>1</v>
      </c>
      <c r="D81" s="2" t="str">
        <f>IFERROR(__xludf.DUMMYFUNCTION("""COMPUTED_VALUE"""),"R1 / R2")</f>
        <v>R1 / R2</v>
      </c>
      <c r="E81" s="2" t="str">
        <f>IFERROR(__xludf.DUMMYFUNCTION("""COMPUTED_VALUE"""),"General Challenges and Recommendations")</f>
        <v>General Challenges and Recommendations</v>
      </c>
      <c r="F81" s="2" t="str">
        <f>IFERROR(__xludf.DUMMYFUNCTION("""COMPUTED_VALUE"""),"challenge")</f>
        <v>challenge</v>
      </c>
      <c r="G81" s="3" t="str">
        <f>IFERROR(__xludf.DUMMYFUNCTION("""COMPUTED_VALUE"""),"Então, toda essa rastreabilidade do que foi feito para com o que eles vão fazer, foi a parte bem difícil [...] Então, não dá pra você pensar em fazer um negócio só teórico, você tem que ter prática, não dá pra ser só simplesmente exercícios práticos, tem "&amp;"que ter toda uma jornada, uma sequência de raciocínio bem estabelecida. Isso foi bem complicado de conseguir atingir esse tópico.")</f>
        <v>Então, toda essa rastreabilidade do que foi feito para com o que eles vão fazer, foi a parte bem difícil [...] Então, não dá pra você pensar em fazer um negócio só teórico, você tem que ter prática, não dá pra ser só simplesmente exercícios práticos, tem que ter toda uma jornada, uma sequência de raciocínio bem estabelecida. Isso foi bem complicado de conseguir atingir esse tópico.</v>
      </c>
      <c r="H81" s="3" t="str">
        <f>IFERROR(__xludf.DUMMYFUNCTION("""COMPUTED_VALUE"""),"Difficulty in structuring the learning journey.")</f>
        <v>Difficulty in structuring the learning journey.</v>
      </c>
      <c r="I81" s="2" t="s">
        <v>2951</v>
      </c>
    </row>
    <row r="82">
      <c r="A82" s="48" t="s">
        <v>2952</v>
      </c>
      <c r="B82" s="2">
        <f>IFERROR(__xludf.DUMMYFUNCTION("""COMPUTED_VALUE"""),7.0)</f>
        <v>7</v>
      </c>
      <c r="C82" s="2">
        <f>IFERROR(__xludf.DUMMYFUNCTION("""COMPUTED_VALUE"""),2.0)</f>
        <v>2</v>
      </c>
      <c r="D82" s="2" t="str">
        <f>IFERROR(__xludf.DUMMYFUNCTION("""COMPUTED_VALUE"""),"R2 / R3")</f>
        <v>R2 / R3</v>
      </c>
      <c r="E82" s="2" t="str">
        <f>IFERROR(__xludf.DUMMYFUNCTION("""COMPUTED_VALUE"""),"Environment Setup")</f>
        <v>Environment Setup</v>
      </c>
      <c r="F82" s="2" t="str">
        <f>IFERROR(__xludf.DUMMYFUNCTION("""COMPUTED_VALUE"""),"challenge")</f>
        <v>challenge</v>
      </c>
      <c r="G82" s="3" t="str">
        <f>IFERROR(__xludf.DUMMYFUNCTION("""COMPUTED_VALUE"""),"Isso é um perrengue, porque o que acontece: existem diversas ferramentas e a gente sempre tem que fechar em algumas para o caráter didático da experimentação.")</f>
        <v>Isso é um perrengue, porque o que acontece: existem diversas ferramentas e a gente sempre tem que fechar em algumas para o caráter didático da experimentação.</v>
      </c>
      <c r="H82" s="3" t="str">
        <f>IFERROR(__xludf.DUMMYFUNCTION("""COMPUTED_VALUE"""),"There are many DevOps tools to choose from.")</f>
        <v>There are many DevOps tools to choose from.</v>
      </c>
      <c r="I82" s="2" t="s">
        <v>2953</v>
      </c>
    </row>
    <row r="83">
      <c r="A83" s="48" t="s">
        <v>2954</v>
      </c>
      <c r="B83" s="2">
        <f>IFERROR(__xludf.DUMMYFUNCTION("""COMPUTED_VALUE"""),7.0)</f>
        <v>7</v>
      </c>
      <c r="C83" s="2">
        <f>IFERROR(__xludf.DUMMYFUNCTION("""COMPUTED_VALUE"""),2.0)</f>
        <v>2</v>
      </c>
      <c r="D83" s="2" t="str">
        <f>IFERROR(__xludf.DUMMYFUNCTION("""COMPUTED_VALUE"""),"R2 / R3")</f>
        <v>R2 / R3</v>
      </c>
      <c r="E83" s="2" t="str">
        <f>IFERROR(__xludf.DUMMYFUNCTION("""COMPUTED_VALUE"""),"Environment Setup")</f>
        <v>Environment Setup</v>
      </c>
      <c r="F83" s="2" t="str">
        <f>IFERROR(__xludf.DUMMYFUNCTION("""COMPUTED_VALUE"""),"challenge")</f>
        <v>challenge</v>
      </c>
      <c r="G83" s="3" t="str">
        <f>IFERROR(__xludf.DUMMYFUNCTION("""COMPUTED_VALUE"""),"não sobra tempo pra isso de, por exemplo, estruturar ambientes complexos [...]  eu sei que não é realidade no mercado, muito pouco são as empresas que eu vi, eu tive contato que montava o seu ambiente do zero na unha, num conjunto de servidores internos.")</f>
        <v>não sobra tempo pra isso de, por exemplo, estruturar ambientes complexos [...]  eu sei que não é realidade no mercado, muito pouco são as empresas que eu vi, eu tive contato que montava o seu ambiente do zero na unha, num conjunto de servidores internos.</v>
      </c>
      <c r="H83" s="3" t="str">
        <f>IFERROR(__xludf.DUMMYFUNCTION("""COMPUTED_VALUE"""),"Lack of time to structure more complex environments with students.")</f>
        <v>Lack of time to structure more complex environments with students.</v>
      </c>
      <c r="I83" s="2" t="s">
        <v>2955</v>
      </c>
    </row>
    <row r="84">
      <c r="A84" s="48" t="s">
        <v>2956</v>
      </c>
      <c r="B84" s="2">
        <f>IFERROR(__xludf.DUMMYFUNCTION("""COMPUTED_VALUE"""),7.0)</f>
        <v>7</v>
      </c>
      <c r="C84" s="2">
        <f>IFERROR(__xludf.DUMMYFUNCTION("""COMPUTED_VALUE"""),4.0)</f>
        <v>4</v>
      </c>
      <c r="D84" s="2" t="str">
        <f>IFERROR(__xludf.DUMMYFUNCTION("""COMPUTED_VALUE"""),"R1 / R3")</f>
        <v>R1 / R3</v>
      </c>
      <c r="E84" s="2" t="str">
        <f>IFERROR(__xludf.DUMMYFUNCTION("""COMPUTED_VALUE"""),"Class Preparation")</f>
        <v>Class Preparation</v>
      </c>
      <c r="F84" s="2" t="str">
        <f>IFERROR(__xludf.DUMMYFUNCTION("""COMPUTED_VALUE"""),"challenge")</f>
        <v>challenge</v>
      </c>
      <c r="G84" s="3" t="str">
        <f>IFERROR(__xludf.DUMMYFUNCTION("""COMPUTED_VALUE"""),"Na época que eu comecei a preparar, não existia um buy the book, um “kit”, uma sugestão de curso, aí pra você iniciar, tal, é um bom start, né? ")</f>
        <v>Na época que eu comecei a preparar, não existia um buy the book, um “kit”, uma sugestão de curso, aí pra você iniciar, tal, é um bom start, né? </v>
      </c>
      <c r="H84" s="3" t="str">
        <f>IFERROR(__xludf.DUMMYFUNCTION("""COMPUTED_VALUE"""),"There is no complete material to teach DevOps.")</f>
        <v>There is no complete material to teach DevOps.</v>
      </c>
      <c r="I84" s="2" t="s">
        <v>2957</v>
      </c>
    </row>
    <row r="85">
      <c r="A85" s="48" t="s">
        <v>2958</v>
      </c>
      <c r="B85" s="2">
        <f>IFERROR(__xludf.DUMMYFUNCTION("""COMPUTED_VALUE"""),7.0)</f>
        <v>7</v>
      </c>
      <c r="C85" s="2">
        <f>IFERROR(__xludf.DUMMYFUNCTION("""COMPUTED_VALUE"""),4.0)</f>
        <v>4</v>
      </c>
      <c r="D85" s="2" t="str">
        <f>IFERROR(__xludf.DUMMYFUNCTION("""COMPUTED_VALUE"""),"R1 / R3")</f>
        <v>R1 / R3</v>
      </c>
      <c r="E85" s="2" t="str">
        <f>IFERROR(__xludf.DUMMYFUNCTION("""COMPUTED_VALUE"""),"Class Preparation")</f>
        <v>Class Preparation</v>
      </c>
      <c r="F85" s="2" t="str">
        <f>IFERROR(__xludf.DUMMYFUNCTION("""COMPUTED_VALUE"""),"challenge")</f>
        <v>challenge</v>
      </c>
      <c r="G85" s="3" t="str">
        <f>IFERROR(__xludf.DUMMYFUNCTION("""COMPUTED_VALUE"""),"O plano de ensino, onde eu vou começar, por onde eu vou passar, o que que vem. Então, estruturar essa sequência dos assuntos a serem abordados, de como é que você vai conectar os assuntos, qual é a parte mais difícil.")</f>
        <v>O plano de ensino, onde eu vou começar, por onde eu vou passar, o que que vem. Então, estruturar essa sequência dos assuntos a serem abordados, de como é que você vai conectar os assuntos, qual é a parte mais difícil.</v>
      </c>
      <c r="H85" s="3" t="str">
        <f>IFERROR(__xludf.DUMMYFUNCTION("""COMPUTED_VALUE"""),"Difficulty to create a teaching plan, especially connecting the covered subjects.")</f>
        <v>Difficulty to create a teaching plan, especially connecting the covered subjects.</v>
      </c>
      <c r="I85" s="2" t="s">
        <v>2959</v>
      </c>
    </row>
    <row r="86">
      <c r="A86" s="48" t="s">
        <v>2960</v>
      </c>
      <c r="B86" s="2">
        <f>IFERROR(__xludf.DUMMYFUNCTION("""COMPUTED_VALUE"""),7.0)</f>
        <v>7</v>
      </c>
      <c r="C86" s="2">
        <f>IFERROR(__xludf.DUMMYFUNCTION("""COMPUTED_VALUE"""),5.0)</f>
        <v>5</v>
      </c>
      <c r="D86" s="2" t="str">
        <f>IFERROR(__xludf.DUMMYFUNCTION("""COMPUTED_VALUE"""),"R1 / R3")</f>
        <v>R1 / R3</v>
      </c>
      <c r="E86" s="2" t="str">
        <f>IFERROR(__xludf.DUMMYFUNCTION("""COMPUTED_VALUE"""),"Tool / Technology")</f>
        <v>Tool / Technology</v>
      </c>
      <c r="F86" s="2" t="str">
        <f>IFERROR(__xludf.DUMMYFUNCTION("""COMPUTED_VALUE"""),"challenge")</f>
        <v>challenge</v>
      </c>
      <c r="G86" s="3" t="str">
        <f>IFERROR(__xludf.DUMMYFUNCTION("""COMPUTED_VALUE"""),"Então é tá alinhado ao que tá acontecendo na comunidade como um todo, né? Estar buscando sempre trazer, porque essa área, especificamente, ela corre muito rápido. Então, todo semestre que eu rodo, rodo essa disciplina uma vez por ano, tem atualizações mui"&amp;"to fortes do que tá acontecendo.
")</f>
        <v>Então é tá alinhado ao que tá acontecendo na comunidade como um todo, né? Estar buscando sempre trazer, porque essa área, especificamente, ela corre muito rápido. Então, todo semestre que eu rodo, rodo essa disciplina uma vez por ano, tem atualizações muito fortes do que tá acontecendo.
</v>
      </c>
      <c r="H86" s="3" t="str">
        <f>IFERROR(__xludf.DUMMYFUNCTION("""COMPUTED_VALUE"""),"It is important to be up-to-date on industry tools every six months.")</f>
        <v>It is important to be up-to-date on industry tools every six months.</v>
      </c>
      <c r="I86" s="2" t="s">
        <v>2961</v>
      </c>
    </row>
    <row r="87">
      <c r="A87" s="48" t="s">
        <v>2962</v>
      </c>
      <c r="B87" s="2">
        <f>IFERROR(__xludf.DUMMYFUNCTION("""COMPUTED_VALUE"""),7.0)</f>
        <v>7</v>
      </c>
      <c r="C87" s="2">
        <f>IFERROR(__xludf.DUMMYFUNCTION("""COMPUTED_VALUE"""),6.0)</f>
        <v>6</v>
      </c>
      <c r="D87" s="2" t="str">
        <f>IFERROR(__xludf.DUMMYFUNCTION("""COMPUTED_VALUE"""),"R1 / R2")</f>
        <v>R1 / R2</v>
      </c>
      <c r="E87" s="2" t="str">
        <f>IFERROR(__xludf.DUMMYFUNCTION("""COMPUTED_VALUE"""),"Assessment")</f>
        <v>Assessment</v>
      </c>
      <c r="F87" s="2" t="str">
        <f>IFERROR(__xludf.DUMMYFUNCTION("""COMPUTED_VALUE"""),"challenge")</f>
        <v>challenge</v>
      </c>
      <c r="G87" s="3" t="str">
        <f>IFERROR(__xludf.DUMMYFUNCTION("""COMPUTED_VALUE"""),"equipe de monitores [...] Se você não tem, ele fica mais pesado, fica mais difícil, você sozinho avaliar. Pega uma turma com quarenta alunos, mesmo que você divida em times, é muita coisa pra você avaliar.")</f>
        <v>equipe de monitores [...] Se você não tem, ele fica mais pesado, fica mais difícil, você sozinho avaliar. Pega uma turma com quarenta alunos, mesmo que você divida em times, é muita coisa pra você avaliar.</v>
      </c>
      <c r="H87" s="3" t="str">
        <f>IFERROR(__xludf.DUMMYFUNCTION("""COMPUTED_VALUE"""),"Large class assessment requires great effort.")</f>
        <v>Large class assessment requires great effort.</v>
      </c>
      <c r="I87" s="2" t="s">
        <v>2963</v>
      </c>
    </row>
    <row r="88">
      <c r="A88" s="48" t="s">
        <v>2964</v>
      </c>
      <c r="B88" s="2">
        <f>IFERROR(__xludf.DUMMYFUNCTION("""COMPUTED_VALUE"""),7.0)</f>
        <v>7</v>
      </c>
      <c r="C88" s="2">
        <f>IFERROR(__xludf.DUMMYFUNCTION("""COMPUTED_VALUE"""),7.0)</f>
        <v>7</v>
      </c>
      <c r="D88" s="2" t="str">
        <f>IFERROR(__xludf.DUMMYFUNCTION("""COMPUTED_VALUE"""),"R2 / R3")</f>
        <v>R2 / R3</v>
      </c>
      <c r="E88" s="2" t="str">
        <f>IFERROR(__xludf.DUMMYFUNCTION("""COMPUTED_VALUE"""),"Curriculum")</f>
        <v>Curriculum</v>
      </c>
      <c r="F88" s="2" t="str">
        <f>IFERROR(__xludf.DUMMYFUNCTION("""COMPUTED_VALUE"""),"challenge")</f>
        <v>challenge</v>
      </c>
      <c r="G88" s="3" t="str">
        <f>IFERROR(__xludf.DUMMYFUNCTION("""COMPUTED_VALUE"""),"o desafio mesmo foi quando eu comecei a fazer, que não tinha nenhuma. Aí, você construir do zero é mais difícil, não tem o baseline. [...] [...] esses tipos de desafios, eles são mais relacionados à natureza do assunto, não ao objeto, ou seja: qual tipo d"&amp;"e conteúdo, como você vai conduzir esse curso, como você vai querer conduzir a disciplina.")</f>
        <v>o desafio mesmo foi quando eu comecei a fazer, que não tinha nenhuma. Aí, você construir do zero é mais difícil, não tem o baseline. [...] [...] esses tipos de desafios, eles são mais relacionados à natureza do assunto, não ao objeto, ou seja: qual tipo de conteúdo, como você vai conduzir esse curso, como você vai querer conduzir a disciplina.</v>
      </c>
      <c r="H88" s="3" t="str">
        <f>IFERROR(__xludf.DUMMYFUNCTION("""COMPUTED_VALUE"""),"Difficulty in setting up classes without a prior reference ones.")</f>
        <v>Difficulty in setting up classes without a prior reference ones.</v>
      </c>
      <c r="I88" s="2" t="s">
        <v>2965</v>
      </c>
    </row>
    <row r="89">
      <c r="A89" s="48" t="s">
        <v>2966</v>
      </c>
      <c r="B89" s="2">
        <f>IFERROR(__xludf.DUMMYFUNCTION("""COMPUTED_VALUE"""),7.0)</f>
        <v>7</v>
      </c>
      <c r="C89" s="2">
        <f>IFERROR(__xludf.DUMMYFUNCTION("""COMPUTED_VALUE"""),8.0)</f>
        <v>8</v>
      </c>
      <c r="D89" s="2" t="str">
        <f>IFERROR(__xludf.DUMMYFUNCTION("""COMPUTED_VALUE"""),"R1 / R3")</f>
        <v>R1 / R3</v>
      </c>
      <c r="E89" s="2" t="str">
        <f>IFERROR(__xludf.DUMMYFUNCTION("""COMPUTED_VALUE"""),"Pedagogy")</f>
        <v>Pedagogy</v>
      </c>
      <c r="F89" s="2" t="str">
        <f>IFERROR(__xludf.DUMMYFUNCTION("""COMPUTED_VALUE"""),"challenge")</f>
        <v>challenge</v>
      </c>
      <c r="G89" s="3" t="str">
        <f>IFERROR(__xludf.DUMMYFUNCTION("""COMPUTED_VALUE""")," se você quiser uma disciplina meio híbrida, que você tem a teoria e prática aplicada, aí o desafio vai ser outro, aí cobre desde você ter ambiente para isso, você estruturar o ambiente, ou pensar em alguma coisa assim, até disponibilizar máquina virtual,"&amp;" ")</f>
        <v> se você quiser uma disciplina meio híbrida, que você tem a teoria e prática aplicada, aí o desafio vai ser outro, aí cobre desde você ter ambiente para isso, você estruturar o ambiente, ou pensar em alguma coisa assim, até disponibilizar máquina virtual, </v>
      </c>
      <c r="H89" s="3" t="str">
        <f>IFERROR(__xludf.DUMMYFUNCTION("""COMPUTED_VALUE"""),"Be concerned about the infrastructure used in the student's environment.")</f>
        <v>Be concerned about the infrastructure used in the student's environment.</v>
      </c>
      <c r="I89" s="2" t="s">
        <v>2967</v>
      </c>
    </row>
    <row r="90">
      <c r="A90" s="48" t="s">
        <v>2968</v>
      </c>
      <c r="B90" s="2">
        <f>IFERROR(__xludf.DUMMYFUNCTION("""COMPUTED_VALUE"""),7.0)</f>
        <v>7</v>
      </c>
      <c r="C90" s="2">
        <f>IFERROR(__xludf.DUMMYFUNCTION("""COMPUTED_VALUE"""),8.0)</f>
        <v>8</v>
      </c>
      <c r="D90" s="2" t="str">
        <f>IFERROR(__xludf.DUMMYFUNCTION("""COMPUTED_VALUE"""),"R1 / R3")</f>
        <v>R1 / R3</v>
      </c>
      <c r="E90" s="2" t="str">
        <f>IFERROR(__xludf.DUMMYFUNCTION("""COMPUTED_VALUE"""),"Pedagogy")</f>
        <v>Pedagogy</v>
      </c>
      <c r="F90" s="2" t="str">
        <f>IFERROR(__xludf.DUMMYFUNCTION("""COMPUTED_VALUE"""),"challenge")</f>
        <v>challenge</v>
      </c>
      <c r="G90" s="3" t="str">
        <f>IFERROR(__xludf.DUMMYFUNCTION("""COMPUTED_VALUE"""),"não dá pra ensinar DevOps sem viver DevOps, né? Não dá pra você ler num livro e querer ensinar DevOps porque DevOps é uma disciplina muito prática, tem muita coisa que acontece na prática. Então, aparece muita dúvida, desde conceitos, quanto a erro de con"&amp;"figuração do Kubernetes, por exemplo. Então, são coisas que a gente tem que lidar. ... Então, se aventurar a ensinar DevOps, cair de paraquedas, aí é um desafio grande, porque o nível de conhecimento que você vai ter que coletar para isso, é bastante dive"&amp;"rso e multidisciplinar.
")</f>
        <v>não dá pra ensinar DevOps sem viver DevOps, né? Não dá pra você ler num livro e querer ensinar DevOps porque DevOps é uma disciplina muito prática, tem muita coisa que acontece na prática. Então, aparece muita dúvida, desde conceitos, quanto a erro de configuração do Kubernetes, por exemplo. Então, são coisas que a gente tem que lidar. ... Então, se aventurar a ensinar DevOps, cair de paraquedas, aí é um desafio grande, porque o nível de conhecimento que você vai ter que coletar para isso, é bastante diverso e multidisciplinar.
</v>
      </c>
      <c r="H90" s="3" t="str">
        <f>IFERROR(__xludf.DUMMYFUNCTION("""COMPUTED_VALUE"""),"There is a very diverse and multidisciplinary knowledge in teaching DevOps.")</f>
        <v>There is a very diverse and multidisciplinary knowledge in teaching DevOps.</v>
      </c>
      <c r="I90" s="2" t="s">
        <v>2969</v>
      </c>
    </row>
    <row r="91">
      <c r="A91" s="48" t="s">
        <v>2970</v>
      </c>
      <c r="B91" s="2">
        <f>IFERROR(__xludf.DUMMYFUNCTION("""COMPUTED_VALUE"""),7.0)</f>
        <v>7</v>
      </c>
      <c r="C91" s="2">
        <f>IFERROR(__xludf.DUMMYFUNCTION("""COMPUTED_VALUE"""),9.0)</f>
        <v>9</v>
      </c>
      <c r="D91" s="2" t="str">
        <f>IFERROR(__xludf.DUMMYFUNCTION("""COMPUTED_VALUE"""),"R1 / R3")</f>
        <v>R1 / R3</v>
      </c>
      <c r="E91" s="2" t="str">
        <f>IFERROR(__xludf.DUMMYFUNCTION("""COMPUTED_VALUE"""),"Other Challenge and Recommendation")</f>
        <v>Other Challenge and Recommendation</v>
      </c>
      <c r="F91" s="2" t="str">
        <f>IFERROR(__xludf.DUMMYFUNCTION("""COMPUTED_VALUE"""),"challenge")</f>
        <v>challenge</v>
      </c>
      <c r="G91" s="3" t="str">
        <f>IFERROR(__xludf.DUMMYFUNCTION("""COMPUTED_VALUE"""),"Esse plano de ensino ele não é e nem deve ser finalizado, né? Ele não tem, ele não tá pronto nunca. ... As coisas mudam muito rápido, o foco muda muito rápido.")</f>
        <v>Esse plano de ensino ele não é e nem deve ser finalizado, né? Ele não tem, ele não tá pronto nunca. ... As coisas mudam muito rápido, o foco muda muito rápido.</v>
      </c>
      <c r="H91" s="3" t="str">
        <f>IFERROR(__xludf.DUMMYFUNCTION("""COMPUTED_VALUE"""),"Rapid and constant changes in DevOps make it difficult to create a teaching plan.")</f>
        <v>Rapid and constant changes in DevOps make it difficult to create a teaching plan.</v>
      </c>
      <c r="I91" s="2" t="s">
        <v>2971</v>
      </c>
    </row>
    <row r="92">
      <c r="A92" s="48" t="s">
        <v>2972</v>
      </c>
      <c r="B92" s="2">
        <f>IFERROR(__xludf.DUMMYFUNCTION("""COMPUTED_VALUE"""),7.0)</f>
        <v>7</v>
      </c>
      <c r="C92" s="2">
        <f>IFERROR(__xludf.DUMMYFUNCTION("""COMPUTED_VALUE"""),9.0)</f>
        <v>9</v>
      </c>
      <c r="D92" s="2" t="str">
        <f>IFERROR(__xludf.DUMMYFUNCTION("""COMPUTED_VALUE"""),"R1 / R3")</f>
        <v>R1 / R3</v>
      </c>
      <c r="E92" s="2" t="str">
        <f>IFERROR(__xludf.DUMMYFUNCTION("""COMPUTED_VALUE"""),"Other Challenge and Recommendation")</f>
        <v>Other Challenge and Recommendation</v>
      </c>
      <c r="F92" s="2" t="str">
        <f>IFERROR(__xludf.DUMMYFUNCTION("""COMPUTED_VALUE"""),"challenge")</f>
        <v>challenge</v>
      </c>
      <c r="G92" s="3" t="str">
        <f>IFERROR(__xludf.DUMMYFUNCTION("""COMPUTED_VALUE"""),"DevOps acaba te forçando a tocar em uma série de outros universos, né? Principalmente se você for para projeto como método de avaliação. Então, esse é um outro grande desafio, você se manter atento ao que está acontecendo, que pode ser correlacionado e qu"&amp;"e você pode trazer como escopo em aberto para ser trabalhado também na disciplina, com esse tipo de direcionamento. Que no meu caso, vem aluno de IA, vem aluno de Banco, vem aluno de Engenharia de Software, pagar a cadeira na pós, e que aí não dá pra fica"&amp;"r só no contexto de desenvolver software, de entregar softwares no DevOps, né? Tem todo um outro contexto de coisas relacionadas, por exemplo, à operação, análise de infraestrutura, aprendizado, predição, e por aí vai.
")</f>
        <v>DevOps acaba te forçando a tocar em uma série de outros universos, né? Principalmente se você for para projeto como método de avaliação. Então, esse é um outro grande desafio, você se manter atento ao que está acontecendo, que pode ser correlacionado e que você pode trazer como escopo em aberto para ser trabalhado também na disciplina, com esse tipo de direcionamento. Que no meu caso, vem aluno de IA, vem aluno de Banco, vem aluno de Engenharia de Software, pagar a cadeira na pós, e que aí não dá pra ficar só no contexto de desenvolver software, de entregar softwares no DevOps, né? Tem todo um outro contexto de coisas relacionadas, por exemplo, à operação, análise de infraestrutura, aprendizado, predição, e por aí vai.
</v>
      </c>
      <c r="H92" s="3" t="str">
        <f>IFERROR(__xludf.DUMMYFUNCTION("""COMPUTED_VALUE"""),"Difficulty in linking DevOps classes with other subjects of interest to students.")</f>
        <v>Difficulty in linking DevOps classes with other subjects of interest to students.</v>
      </c>
      <c r="I92" s="2" t="s">
        <v>2973</v>
      </c>
    </row>
    <row r="93">
      <c r="A93" s="48" t="s">
        <v>2974</v>
      </c>
      <c r="B93" s="2">
        <f>IFERROR(__xludf.DUMMYFUNCTION("""COMPUTED_VALUE"""),8.0)</f>
        <v>8</v>
      </c>
      <c r="C93" s="2">
        <f>IFERROR(__xludf.DUMMYFUNCTION("""COMPUTED_VALUE"""),1.0)</f>
        <v>1</v>
      </c>
      <c r="D93" s="2" t="str">
        <f>IFERROR(__xludf.DUMMYFUNCTION("""COMPUTED_VALUE"""),"R1 / R2")</f>
        <v>R1 / R2</v>
      </c>
      <c r="E93" s="2" t="str">
        <f>IFERROR(__xludf.DUMMYFUNCTION("""COMPUTED_VALUE"""),"Educator Experience")</f>
        <v>Educator Experience</v>
      </c>
      <c r="F93" s="2" t="str">
        <f>IFERROR(__xludf.DUMMYFUNCTION("""COMPUTED_VALUE"""),"challenge")</f>
        <v>challenge</v>
      </c>
      <c r="G93" s="3" t="str">
        <f>IFERROR(__xludf.DUMMYFUNCTION("""COMPUTED_VALUE"""),"Culture is difficult to teach.")</f>
        <v>Culture is difficult to teach.</v>
      </c>
      <c r="H93" s="3" t="str">
        <f>IFERROR(__xludf.DUMMYFUNCTION("""COMPUTED_VALUE"""),"Culture is difficult to teach.")</f>
        <v>Culture is difficult to teach.</v>
      </c>
      <c r="I93" s="2" t="s">
        <v>2382</v>
      </c>
    </row>
    <row r="94">
      <c r="A94" s="48" t="s">
        <v>2975</v>
      </c>
      <c r="B94" s="2">
        <f>IFERROR(__xludf.DUMMYFUNCTION("""COMPUTED_VALUE"""),8.0)</f>
        <v>8</v>
      </c>
      <c r="C94" s="2">
        <f>IFERROR(__xludf.DUMMYFUNCTION("""COMPUTED_VALUE"""),7.0)</f>
        <v>7</v>
      </c>
      <c r="D94" s="2" t="str">
        <f>IFERROR(__xludf.DUMMYFUNCTION("""COMPUTED_VALUE"""),"R2 / R3")</f>
        <v>R2 / R3</v>
      </c>
      <c r="E94" s="2" t="str">
        <f>IFERROR(__xludf.DUMMYFUNCTION("""COMPUTED_VALUE"""),"General Challenges and Recommendations")</f>
        <v>General Challenges and Recommendations</v>
      </c>
      <c r="F94" s="2" t="str">
        <f>IFERROR(__xludf.DUMMYFUNCTION("""COMPUTED_VALUE"""),"challenge")</f>
        <v>challenge</v>
      </c>
      <c r="G94" s="3" t="str">
        <f>IFERROR(__xludf.DUMMYFUNCTION("""COMPUTED_VALUE"""),"one of the challenges is how do you teach people from these different backgrounds [...]  there is so much technology that comes together in DevOps, that the challenge is how do you get everyone up to speed on an even right? So that we can all move forward"&amp;" together and learn together. So, so that's a big challenge.")</f>
        <v>one of the challenges is how do you teach people from these different backgrounds [...]  there is so much technology that comes together in DevOps, that the challenge is how do you get everyone up to speed on an even right? So that we can all move forward together and learn together. So, so that's a big challenge.</v>
      </c>
      <c r="H94" s="3" t="str">
        <f>IFERROR(__xludf.DUMMYFUNCTION("""COMPUTED_VALUE"""),"It's hard to teach people with different backgrounds.")</f>
        <v>It's hard to teach people with different backgrounds.</v>
      </c>
      <c r="I94" s="2" t="s">
        <v>2976</v>
      </c>
    </row>
    <row r="95">
      <c r="A95" s="48" t="s">
        <v>2977</v>
      </c>
      <c r="B95" s="2">
        <f>IFERROR(__xludf.DUMMYFUNCTION("""COMPUTED_VALUE"""),8.0)</f>
        <v>8</v>
      </c>
      <c r="C95" s="2">
        <f>IFERROR(__xludf.DUMMYFUNCTION("""COMPUTED_VALUE"""),7.0)</f>
        <v>7</v>
      </c>
      <c r="D95" s="2" t="str">
        <f>IFERROR(__xludf.DUMMYFUNCTION("""COMPUTED_VALUE"""),"R1 / R3")</f>
        <v>R1 / R3</v>
      </c>
      <c r="E95" s="2" t="str">
        <f>IFERROR(__xludf.DUMMYFUNCTION("""COMPUTED_VALUE"""),"General Challenges and Recommendations")</f>
        <v>General Challenges and Recommendations</v>
      </c>
      <c r="F95" s="2" t="str">
        <f>IFERROR(__xludf.DUMMYFUNCTION("""COMPUTED_VALUE"""),"challenge")</f>
        <v>challenge</v>
      </c>
      <c r="G95" s="3" t="str">
        <f>IFERROR(__xludf.DUMMYFUNCTION("""COMPUTED_VALUE"""),"Some people take a network course they know when IP addresses. Some people don't know what an IP address is.")</f>
        <v>Some people take a network course they know when IP addresses. Some people don't know what an IP address is.</v>
      </c>
      <c r="H95" s="3" t="str">
        <f>IFERROR(__xludf.DUMMYFUNCTION("""COMPUTED_VALUE"""),"Some students don't know network concepts.")</f>
        <v>Some students don't know network concepts.</v>
      </c>
      <c r="I95" s="2" t="s">
        <v>2418</v>
      </c>
    </row>
    <row r="96">
      <c r="A96" s="48" t="s">
        <v>2978</v>
      </c>
      <c r="B96" s="2">
        <f>IFERROR(__xludf.DUMMYFUNCTION("""COMPUTED_VALUE"""),8.0)</f>
        <v>8</v>
      </c>
      <c r="C96" s="2">
        <f>IFERROR(__xludf.DUMMYFUNCTION("""COMPUTED_VALUE"""),7.0)</f>
        <v>7</v>
      </c>
      <c r="D96" s="2" t="str">
        <f>IFERROR(__xludf.DUMMYFUNCTION("""COMPUTED_VALUE"""),"R2 / R3")</f>
        <v>R2 / R3</v>
      </c>
      <c r="E96" s="2" t="str">
        <f>IFERROR(__xludf.DUMMYFUNCTION("""COMPUTED_VALUE"""),"General Challenges and Recommendations")</f>
        <v>General Challenges and Recommendations</v>
      </c>
      <c r="F96" s="2" t="str">
        <f>IFERROR(__xludf.DUMMYFUNCTION("""COMPUTED_VALUE"""),"challenge")</f>
        <v>challenge</v>
      </c>
      <c r="G96" s="3" t="str">
        <f>IFERROR(__xludf.DUMMYFUNCTION("""COMPUTED_VALUE"""),"The other big challenge is: technology. People come with Macs, people come with windows, people come with Linux. [...] So that's the other challenge is people coming in with different technology and then how do you teach them the same thing without saying"&amp;": ""oh, the command in windows is this and the command on a Mac is that""")</f>
        <v>The other big challenge is: technology. People come with Macs, people come with windows, people come with Linux. [...] So that's the other challenge is people coming in with different technology and then how do you teach them the same thing without saying: "oh, the command in windows is this and the command on a Mac is that"</v>
      </c>
      <c r="H96" s="3" t="str">
        <f>IFERROR(__xludf.DUMMYFUNCTION("""COMPUTED_VALUE"""),"It's hard to deal with many options of tools.")</f>
        <v>It's hard to deal with many options of tools.</v>
      </c>
      <c r="I96" s="2" t="s">
        <v>1082</v>
      </c>
    </row>
    <row r="97">
      <c r="A97" s="48" t="s">
        <v>2979</v>
      </c>
      <c r="B97" s="2">
        <f>IFERROR(__xludf.DUMMYFUNCTION("""COMPUTED_VALUE"""),8.0)</f>
        <v>8</v>
      </c>
      <c r="C97" s="2">
        <f>IFERROR(__xludf.DUMMYFUNCTION("""COMPUTED_VALUE"""),8.0)</f>
        <v>8</v>
      </c>
      <c r="D97" s="2" t="str">
        <f>IFERROR(__xludf.DUMMYFUNCTION("""COMPUTED_VALUE"""),"R1 / R3")</f>
        <v>R1 / R3</v>
      </c>
      <c r="E97" s="2" t="str">
        <f>IFERROR(__xludf.DUMMYFUNCTION("""COMPUTED_VALUE"""),"Environment Setup")</f>
        <v>Environment Setup</v>
      </c>
      <c r="F97" s="2" t="str">
        <f>IFERROR(__xludf.DUMMYFUNCTION("""COMPUTED_VALUE"""),"challenge")</f>
        <v>challenge</v>
      </c>
      <c r="G97" s="3" t="str">
        <f>IFERROR(__xludf.DUMMYFUNCTION("""COMPUTED_VALUE"""),"there are several environments in the cloud, but they all cost money. ")</f>
        <v>there are several environments in the cloud, but they all cost money. </v>
      </c>
      <c r="H97" s="3" t="str">
        <f>IFERROR(__xludf.DUMMYFUNCTION("""COMPUTED_VALUE"""),"Environment set up in a cloud service cost money.")</f>
        <v>Environment set up in a cloud service cost money.</v>
      </c>
      <c r="I97" s="2" t="s">
        <v>2980</v>
      </c>
    </row>
    <row r="98">
      <c r="A98" s="48" t="s">
        <v>2981</v>
      </c>
      <c r="B98" s="2">
        <f>IFERROR(__xludf.DUMMYFUNCTION("""COMPUTED_VALUE"""),8.0)</f>
        <v>8</v>
      </c>
      <c r="C98" s="2">
        <f>IFERROR(__xludf.DUMMYFUNCTION("""COMPUTED_VALUE"""),8.0)</f>
        <v>8</v>
      </c>
      <c r="D98" s="2" t="str">
        <f>IFERROR(__xludf.DUMMYFUNCTION("""COMPUTED_VALUE"""),"R1 / R3")</f>
        <v>R1 / R3</v>
      </c>
      <c r="E98" s="2" t="str">
        <f>IFERROR(__xludf.DUMMYFUNCTION("""COMPUTED_VALUE"""),"Environment Setup")</f>
        <v>Environment Setup</v>
      </c>
      <c r="F98" s="2" t="str">
        <f>IFERROR(__xludf.DUMMYFUNCTION("""COMPUTED_VALUE"""),"challenge")</f>
        <v>challenge</v>
      </c>
      <c r="G98" s="3" t="str">
        <f>IFERROR(__xludf.DUMMYFUNCTION("""COMPUTED_VALUE""")," However, last semester eight of my students showed up with apple, M one Silicon Macs and they don't run VirtualBox because VirtualBox only runs on Intel. It's not an emulator. It is a virtualizing layer, right? It needs an Intel CPU in order to virtualiz"&amp;"e. Um, and so I had to change the class for them to use Docker and VirtualBox. ")</f>
        <v> However, last semester eight of my students showed up with apple, M one Silicon Macs and they don't run VirtualBox because VirtualBox only runs on Intel. It's not an emulator. It is a virtualizing layer, right? It needs an Intel CPU in order to virtualize. Um, and so I had to change the class for them to use Docker and VirtualBox. </v>
      </c>
      <c r="H98" s="3" t="str">
        <f>IFERROR(__xludf.DUMMYFUNCTION("""COMPUTED_VALUE"""),"VirtualBox has limitation in MacOS.")</f>
        <v>VirtualBox has limitation in MacOS.</v>
      </c>
      <c r="I98" s="2" t="s">
        <v>506</v>
      </c>
    </row>
    <row r="99">
      <c r="A99" s="48" t="s">
        <v>2982</v>
      </c>
      <c r="B99" s="2">
        <f>IFERROR(__xludf.DUMMYFUNCTION("""COMPUTED_VALUE"""),8.0)</f>
        <v>8</v>
      </c>
      <c r="C99" s="2">
        <f>IFERROR(__xludf.DUMMYFUNCTION("""COMPUTED_VALUE"""),9.0)</f>
        <v>9</v>
      </c>
      <c r="D99" s="2" t="str">
        <f>IFERROR(__xludf.DUMMYFUNCTION("""COMPUTED_VALUE"""),"R1 / R3")</f>
        <v>R1 / R3</v>
      </c>
      <c r="E99" s="2" t="str">
        <f>IFERROR(__xludf.DUMMYFUNCTION("""COMPUTED_VALUE"""),"Tool / Technology")</f>
        <v>Tool / Technology</v>
      </c>
      <c r="F99" s="2" t="str">
        <f>IFERROR(__xludf.DUMMYFUNCTION("""COMPUTED_VALUE"""),"challenge")</f>
        <v>challenge</v>
      </c>
      <c r="G99" s="3" t="str">
        <f>IFERROR(__xludf.DUMMYFUNCTION("""COMPUTED_VALUE""")," you have to change the tools almost every semester or every two years. You've got to look at what are the popular tools right now.")</f>
        <v> you have to change the tools almost every semester or every two years. You've got to look at what are the popular tools right now.</v>
      </c>
      <c r="H99" s="3" t="str">
        <f>IFERROR(__xludf.DUMMYFUNCTION("""COMPUTED_VALUE"""),"Every semester is necessary to update tools used on course.")</f>
        <v>Every semester is necessary to update tools used on course.</v>
      </c>
      <c r="I99" s="2" t="s">
        <v>2983</v>
      </c>
    </row>
    <row r="100">
      <c r="A100" s="48" t="s">
        <v>2984</v>
      </c>
      <c r="B100" s="2">
        <f>IFERROR(__xludf.DUMMYFUNCTION("""COMPUTED_VALUE"""),8.0)</f>
        <v>8</v>
      </c>
      <c r="C100" s="2">
        <f>IFERROR(__xludf.DUMMYFUNCTION("""COMPUTED_VALUE"""),9.0)</f>
        <v>9</v>
      </c>
      <c r="D100" s="2" t="str">
        <f>IFERROR(__xludf.DUMMYFUNCTION("""COMPUTED_VALUE"""),"R1 / R3")</f>
        <v>R1 / R3</v>
      </c>
      <c r="E100" s="2" t="str">
        <f>IFERROR(__xludf.DUMMYFUNCTION("""COMPUTED_VALUE"""),"Tool / Technology")</f>
        <v>Tool / Technology</v>
      </c>
      <c r="F100" s="2" t="str">
        <f>IFERROR(__xludf.DUMMYFUNCTION("""COMPUTED_VALUE"""),"challenge")</f>
        <v>challenge</v>
      </c>
      <c r="G100" s="3" t="str">
        <f>IFERROR(__xludf.DUMMYFUNCTION("""COMPUTED_VALUE"""),"You have to find a set of tools that work together.")</f>
        <v>You have to find a set of tools that work together.</v>
      </c>
      <c r="H100" s="3" t="str">
        <f>IFERROR(__xludf.DUMMYFUNCTION("""COMPUTED_VALUE"""),"You have to find a set of tools that work together.")</f>
        <v>You have to find a set of tools that work together.</v>
      </c>
      <c r="I100" s="2" t="s">
        <v>2439</v>
      </c>
    </row>
    <row r="101">
      <c r="A101" s="50" t="s">
        <v>2985</v>
      </c>
      <c r="B101" s="2">
        <f>IFERROR(__xludf.DUMMYFUNCTION("""COMPUTED_VALUE"""),8.0)</f>
        <v>8</v>
      </c>
      <c r="C101" s="2">
        <f>IFERROR(__xludf.DUMMYFUNCTION("""COMPUTED_VALUE"""),10.0)</f>
        <v>10</v>
      </c>
      <c r="D101" s="2" t="str">
        <f>IFERROR(__xludf.DUMMYFUNCTION("""COMPUTED_VALUE"""),"R1 / R3")</f>
        <v>R1 / R3</v>
      </c>
      <c r="E101" s="2" t="str">
        <f>IFERROR(__xludf.DUMMYFUNCTION("""COMPUTED_VALUE"""),"DevOps Concepts")</f>
        <v>DevOps Concepts</v>
      </c>
      <c r="F101" s="2" t="str">
        <f>IFERROR(__xludf.DUMMYFUNCTION("""COMPUTED_VALUE"""),"challenge")</f>
        <v>challenge</v>
      </c>
      <c r="G101" s="3" t="str">
        <f>IFERROR(__xludf.DUMMYFUNCTION("""COMPUTED_VALUE"""),"a big challenge is students learning to be, um, to be agile working as a team pair programming. ")</f>
        <v>a big challenge is students learning to be, um, to be agile working as a team pair programming. </v>
      </c>
      <c r="H101" s="3" t="str">
        <f>IFERROR(__xludf.DUMMYFUNCTION("""COMPUTED_VALUE"""),"It is difficult to students learning agile techniques like pair programming.")</f>
        <v>It is difficult to students learning agile techniques like pair programming.</v>
      </c>
      <c r="I101" s="2" t="s">
        <v>2986</v>
      </c>
    </row>
    <row r="102">
      <c r="A102" s="50" t="s">
        <v>2987</v>
      </c>
      <c r="B102" s="2">
        <f>IFERROR(__xludf.DUMMYFUNCTION("""COMPUTED_VALUE"""),8.0)</f>
        <v>8</v>
      </c>
      <c r="C102" s="2">
        <f>IFERROR(__xludf.DUMMYFUNCTION("""COMPUTED_VALUE"""),10.0)</f>
        <v>10</v>
      </c>
      <c r="D102" s="2" t="str">
        <f>IFERROR(__xludf.DUMMYFUNCTION("""COMPUTED_VALUE"""),"R1 / R3")</f>
        <v>R1 / R3</v>
      </c>
      <c r="E102" s="2" t="str">
        <f>IFERROR(__xludf.DUMMYFUNCTION("""COMPUTED_VALUE"""),"DevOps Concepts")</f>
        <v>DevOps Concepts</v>
      </c>
      <c r="F102" s="2" t="str">
        <f>IFERROR(__xludf.DUMMYFUNCTION("""COMPUTED_VALUE"""),"challenge")</f>
        <v>challenge</v>
      </c>
      <c r="G102" s="3" t="str">
        <f>IFERROR(__xludf.DUMMYFUNCTION("""COMPUTED_VALUE""")," lot of those concepts are hard to teach in a classroom setting")</f>
        <v> lot of those concepts are hard to teach in a classroom setting</v>
      </c>
      <c r="H102" s="3" t="str">
        <f>IFERROR(__xludf.DUMMYFUNCTION("""COMPUTED_VALUE"""),"A lot of devops concepts are hard to teach in a classroom setting.")</f>
        <v>A lot of devops concepts are hard to teach in a classroom setting.</v>
      </c>
      <c r="I102" s="2" t="s">
        <v>2988</v>
      </c>
    </row>
    <row r="103">
      <c r="A103" s="50" t="s">
        <v>2989</v>
      </c>
      <c r="B103" s="2">
        <f>IFERROR(__xludf.DUMMYFUNCTION("""COMPUTED_VALUE"""),8.0)</f>
        <v>8</v>
      </c>
      <c r="C103" s="2">
        <f>IFERROR(__xludf.DUMMYFUNCTION("""COMPUTED_VALUE"""),10.0)</f>
        <v>10</v>
      </c>
      <c r="D103" s="2" t="str">
        <f>IFERROR(__xludf.DUMMYFUNCTION("""COMPUTED_VALUE"""),"R1 / R3")</f>
        <v>R1 / R3</v>
      </c>
      <c r="E103" s="2" t="str">
        <f>IFERROR(__xludf.DUMMYFUNCTION("""COMPUTED_VALUE"""),"DevOps Concepts")</f>
        <v>DevOps Concepts</v>
      </c>
      <c r="F103" s="2" t="str">
        <f>IFERROR(__xludf.DUMMYFUNCTION("""COMPUTED_VALUE"""),"challenge")</f>
        <v>challenge</v>
      </c>
      <c r="G103" s="3" t="str">
        <f>IFERROR(__xludf.DUMMYFUNCTION("""COMPUTED_VALUE"""),"that's kind of challenging getting them to be agile, getting them to think agile, get into think minimum viable product, right.")</f>
        <v>that's kind of challenging getting them to be agile, getting them to think agile, get into think minimum viable product, right.</v>
      </c>
      <c r="H103" s="3" t="str">
        <f>IFERROR(__xludf.DUMMYFUNCTION("""COMPUTED_VALUE"""),"It's challenging for the students to be and to think agile into mininum viable product.")</f>
        <v>It's challenging for the students to be and to think agile into mininum viable product.</v>
      </c>
      <c r="I103" s="2" t="s">
        <v>2990</v>
      </c>
    </row>
    <row r="104">
      <c r="A104" s="50" t="s">
        <v>2991</v>
      </c>
      <c r="B104" s="2">
        <f>IFERROR(__xludf.DUMMYFUNCTION("""COMPUTED_VALUE"""),8.0)</f>
        <v>8</v>
      </c>
      <c r="C104" s="2">
        <f>IFERROR(__xludf.DUMMYFUNCTION("""COMPUTED_VALUE"""),10.0)</f>
        <v>10</v>
      </c>
      <c r="D104" s="2" t="str">
        <f>IFERROR(__xludf.DUMMYFUNCTION("""COMPUTED_VALUE"""),"R1 / R3")</f>
        <v>R1 / R3</v>
      </c>
      <c r="E104" s="2" t="str">
        <f>IFERROR(__xludf.DUMMYFUNCTION("""COMPUTED_VALUE"""),"DevOps Concepts")</f>
        <v>DevOps Concepts</v>
      </c>
      <c r="F104" s="2" t="str">
        <f>IFERROR(__xludf.DUMMYFUNCTION("""COMPUTED_VALUE"""),"challenge")</f>
        <v>challenge</v>
      </c>
      <c r="G104" s="3" t="str">
        <f>IFERROR(__xludf.DUMMYFUNCTION("""COMPUTED_VALUE"""),"are they following the process? Not, did they get the work done in the end? That's not the important part is did they learn the process and follow it? And did they learn from it? So that's, it's kind of challenging.")</f>
        <v>are they following the process? Not, did they get the work done in the end? That's not the important part is did they learn the process and follow it? And did they learn from it? So that's, it's kind of challenging.</v>
      </c>
      <c r="H104" s="3" t="str">
        <f>IFERROR(__xludf.DUMMYFUNCTION("""COMPUTED_VALUE"""),"It is challeging to verify if the students learn the devops process of working.")</f>
        <v>It is challeging to verify if the students learn the devops process of working.</v>
      </c>
      <c r="I104" s="2" t="s">
        <v>2992</v>
      </c>
    </row>
    <row r="105">
      <c r="A105" s="50" t="s">
        <v>2993</v>
      </c>
      <c r="B105" s="2">
        <f>IFERROR(__xludf.DUMMYFUNCTION("""COMPUTED_VALUE"""),8.0)</f>
        <v>8</v>
      </c>
      <c r="C105" s="2">
        <f>IFERROR(__xludf.DUMMYFUNCTION("""COMPUTED_VALUE"""),11.0)</f>
        <v>11</v>
      </c>
      <c r="D105" s="2" t="str">
        <f>IFERROR(__xludf.DUMMYFUNCTION("""COMPUTED_VALUE"""),"R1 / R2")</f>
        <v>R1 / R2</v>
      </c>
      <c r="E105" s="2" t="str">
        <f>IFERROR(__xludf.DUMMYFUNCTION("""COMPUTED_VALUE"""),"Class Preparation")</f>
        <v>Class Preparation</v>
      </c>
      <c r="F105" s="2" t="str">
        <f>IFERROR(__xludf.DUMMYFUNCTION("""COMPUTED_VALUE"""),"challenge")</f>
        <v>challenge</v>
      </c>
      <c r="G105" s="3" t="str">
        <f>IFERROR(__xludf.DUMMYFUNCTION("""COMPUTED_VALUE"""),"So the challenge for me is that the cloud is constantly evolving. And so every semester what I try to do in my class, in my labs, I have snapshots of screenshots and circles and arrows and, you know, click on this and move there. Um, and that changes cons"&amp;"tantly")</f>
        <v>So the challenge for me is that the cloud is constantly evolving. And so every semester what I try to do in my class, in my labs, I have snapshots of screenshots and circles and arrows and, you know, click on this and move there. Um, and that changes constantly</v>
      </c>
      <c r="H105" s="3" t="str">
        <f>IFERROR(__xludf.DUMMYFUNCTION("""COMPUTED_VALUE"""),"The cloud are constantly evolving and it breaks labs every semester.")</f>
        <v>The cloud are constantly evolving and it breaks labs every semester.</v>
      </c>
      <c r="I105" s="2" t="s">
        <v>2994</v>
      </c>
    </row>
    <row r="106">
      <c r="A106" s="50" t="s">
        <v>2995</v>
      </c>
      <c r="B106" s="2">
        <f>IFERROR(__xludf.DUMMYFUNCTION("""COMPUTED_VALUE"""),8.0)</f>
        <v>8</v>
      </c>
      <c r="C106" s="2">
        <f>IFERROR(__xludf.DUMMYFUNCTION("""COMPUTED_VALUE"""),12.0)</f>
        <v>12</v>
      </c>
      <c r="D106" s="2" t="str">
        <f>IFERROR(__xludf.DUMMYFUNCTION("""COMPUTED_VALUE"""),"R2 / R3")</f>
        <v>R2 / R3</v>
      </c>
      <c r="E106" s="2" t="str">
        <f>IFERROR(__xludf.DUMMYFUNCTION("""COMPUTED_VALUE"""),"Class Preparation")</f>
        <v>Class Preparation</v>
      </c>
      <c r="F106" s="2" t="str">
        <f>IFERROR(__xludf.DUMMYFUNCTION("""COMPUTED_VALUE"""),"challenge")</f>
        <v>challenge</v>
      </c>
      <c r="G106" s="3" t="str">
        <f>IFERROR(__xludf.DUMMYFUNCTION("""COMPUTED_VALUE"""),"so there's a lot of preparation in making sure that the tools still work the way they should, that the cloud still works the way they should, um, that the code doesn't have vulnerabilities in it. And that you've got all the right versions of stuff. So tha"&amp;"t's a lot of, uh, preparation then of course, as I said, you know, new technologies, like when Kubernetes came around, you know, you have to add Kubernetes to the class, constantly adding new technologies to the class move.")</f>
        <v>so there's a lot of preparation in making sure that the tools still work the way they should, that the cloud still works the way they should, um, that the code doesn't have vulnerabilities in it. And that you've got all the right versions of stuff. So that's a lot of, uh, preparation then of course, as I said, you know, new technologies, like when Kubernetes came around, you know, you have to add Kubernetes to the class, constantly adding new technologies to the class move.</v>
      </c>
      <c r="H106" s="3" t="str">
        <f>IFERROR(__xludf.DUMMYFUNCTION("""COMPUTED_VALUE"""),"Lots of preparation to keep tools and environment working, secure and updated.")</f>
        <v>Lots of preparation to keep tools and environment working, secure and updated.</v>
      </c>
      <c r="I106" s="2" t="s">
        <v>2996</v>
      </c>
    </row>
    <row r="107">
      <c r="A107" s="50" t="s">
        <v>2997</v>
      </c>
      <c r="B107" s="2">
        <f>IFERROR(__xludf.DUMMYFUNCTION("""COMPUTED_VALUE"""),8.0)</f>
        <v>8</v>
      </c>
      <c r="C107" s="2">
        <f>IFERROR(__xludf.DUMMYFUNCTION("""COMPUTED_VALUE"""),13.0)</f>
        <v>13</v>
      </c>
      <c r="D107" s="2" t="str">
        <f>IFERROR(__xludf.DUMMYFUNCTION("""COMPUTED_VALUE"""),"R1 / R3")</f>
        <v>R1 / R3</v>
      </c>
      <c r="E107" s="2" t="str">
        <f>IFERROR(__xludf.DUMMYFUNCTION("""COMPUTED_VALUE"""),"Pedagogy")</f>
        <v>Pedagogy</v>
      </c>
      <c r="F107" s="2" t="str">
        <f>IFERROR(__xludf.DUMMYFUNCTION("""COMPUTED_VALUE"""),"challenge")</f>
        <v>challenge</v>
      </c>
      <c r="G107" s="3" t="str">
        <f>IFERROR(__xludf.DUMMYFUNCTION("""COMPUTED_VALUE""")," because of the remote learning [...] I've been teaching my classes on zoom. And so, uh, that makes it very hard to do hands-on because I can't see the students right. While I'm doing the hands-on. So I can't see the puzzled look on their face and say, ok"&amp;"ay, I just lost them.  ")</f>
        <v> because of the remote learning [...] I've been teaching my classes on zoom. And so, uh, that makes it very hard to do hands-on because I can't see the students right. While I'm doing the hands-on. So I can't see the puzzled look on their face and say, okay, I just lost them.  </v>
      </c>
      <c r="H107" s="3" t="str">
        <f>IFERROR(__xludf.DUMMYFUNCTION("""COMPUTED_VALUE"""),"It's hard to do hands-on on remote learning because the teacher can't see the students face.")</f>
        <v>It's hard to do hands-on on remote learning because the teacher can't see the students face.</v>
      </c>
      <c r="I107" s="2" t="s">
        <v>2998</v>
      </c>
    </row>
    <row r="108">
      <c r="A108" s="50" t="s">
        <v>2999</v>
      </c>
      <c r="B108" s="2">
        <f>IFERROR(__xludf.DUMMYFUNCTION("""COMPUTED_VALUE"""),8.0)</f>
        <v>8</v>
      </c>
      <c r="C108" s="2">
        <f>IFERROR(__xludf.DUMMYFUNCTION("""COMPUTED_VALUE"""),13.0)</f>
        <v>13</v>
      </c>
      <c r="D108" s="2" t="str">
        <f>IFERROR(__xludf.DUMMYFUNCTION("""COMPUTED_VALUE"""),"R1 / R3")</f>
        <v>R1 / R3</v>
      </c>
      <c r="E108" s="2" t="str">
        <f>IFERROR(__xludf.DUMMYFUNCTION("""COMPUTED_VALUE"""),"Pedagogy")</f>
        <v>Pedagogy</v>
      </c>
      <c r="F108" s="2" t="str">
        <f>IFERROR(__xludf.DUMMYFUNCTION("""COMPUTED_VALUE"""),"challenge")</f>
        <v>challenge</v>
      </c>
      <c r="G108" s="3" t="str">
        <f>IFERROR(__xludf.DUMMYFUNCTION("""COMPUTED_VALUE"""),"doing a hands-on class with that many (45) students is just physically challenging.")</f>
        <v>doing a hands-on class with that many (45) students is just physically challenging.</v>
      </c>
      <c r="H108" s="3" t="str">
        <f>IFERROR(__xludf.DUMMYFUNCTION("""COMPUTED_VALUE"""),"Doing a hands-on class with that many (45) students is just physically challenging.")</f>
        <v>Doing a hands-on class with that many (45) students is just physically challenging.</v>
      </c>
      <c r="I108" s="2" t="s">
        <v>2457</v>
      </c>
    </row>
    <row r="109">
      <c r="A109" s="50" t="s">
        <v>3000</v>
      </c>
      <c r="B109" s="2">
        <f>IFERROR(__xludf.DUMMYFUNCTION("""COMPUTED_VALUE"""),8.0)</f>
        <v>8</v>
      </c>
      <c r="C109" s="2">
        <f>IFERROR(__xludf.DUMMYFUNCTION("""COMPUTED_VALUE"""),16.0)</f>
        <v>16</v>
      </c>
      <c r="D109" s="2" t="str">
        <f>IFERROR(__xludf.DUMMYFUNCTION("""COMPUTED_VALUE"""),"R1 / R2")</f>
        <v>R1 / R2</v>
      </c>
      <c r="E109" s="2" t="str">
        <f>IFERROR(__xludf.DUMMYFUNCTION("""COMPUTED_VALUE"""),"Curriculum")</f>
        <v>Curriculum</v>
      </c>
      <c r="F109" s="2" t="str">
        <f>IFERROR(__xludf.DUMMYFUNCTION("""COMPUTED_VALUE"""),"challenge")</f>
        <v>challenge</v>
      </c>
      <c r="G109" s="3" t="str">
        <f>IFERROR(__xludf.DUMMYFUNCTION("""COMPUTED_VALUE"""),"my biggest challenge is that my course should be two semesters because it's just too much stuff to fit in one semester. [...] the challenge there is I had to put together a curriculum that had, um, a little bit about everything. [...] So it's challenging "&amp;"fitting all that stuff into one semester.")</f>
        <v>my biggest challenge is that my course should be two semesters because it's just too much stuff to fit in one semester. [...] the challenge there is I had to put together a curriculum that had, um, a little bit about everything. [...] So it's challenging fitting all that stuff into one semester.</v>
      </c>
      <c r="H109" s="3" t="str">
        <f>IFERROR(__xludf.DUMMYFUNCTION("""COMPUTED_VALUE"""),"DevOps has too much contents and it's hard to fit it in a semester.")</f>
        <v>DevOps has too much contents and it's hard to fit it in a semester.</v>
      </c>
      <c r="I109" s="2" t="s">
        <v>3001</v>
      </c>
    </row>
    <row r="110">
      <c r="A110" s="50" t="s">
        <v>3002</v>
      </c>
      <c r="B110" s="2">
        <f>IFERROR(__xludf.DUMMYFUNCTION("""COMPUTED_VALUE"""),8.0)</f>
        <v>8</v>
      </c>
      <c r="C110" s="2">
        <f>IFERROR(__xludf.DUMMYFUNCTION("""COMPUTED_VALUE"""),16.0)</f>
        <v>16</v>
      </c>
      <c r="D110" s="2" t="str">
        <f>IFERROR(__xludf.DUMMYFUNCTION("""COMPUTED_VALUE"""),"R1 / R2")</f>
        <v>R1 / R2</v>
      </c>
      <c r="E110" s="2" t="str">
        <f>IFERROR(__xludf.DUMMYFUNCTION("""COMPUTED_VALUE"""),"Curriculum")</f>
        <v>Curriculum</v>
      </c>
      <c r="F110" s="2" t="str">
        <f>IFERROR(__xludf.DUMMYFUNCTION("""COMPUTED_VALUE"""),"challenge")</f>
        <v>challenge</v>
      </c>
      <c r="G110" s="3" t="str">
        <f>IFERROR(__xludf.DUMMYFUNCTION("""COMPUTED_VALUE"""),"   There's lots and lots of information, which is why I give them lots of support during the week on slack. Um, but there's lots of information to cover. And because it's so challenging, I don't get to cover a lot of once you deploy it, how do you monitor"&amp;" it? Uh, right. And, and, and how do you, how do you, you know, go through the logs? And I mean, we do a little bit of looking at the logs when we deploy it to figure out if it's working, but I don't do a lot of the ops side of DevOps.")</f>
        <v>   There's lots and lots of information, which is why I give them lots of support during the week on slack. Um, but there's lots of information to cover. And because it's so challenging, I don't get to cover a lot of once you deploy it, how do you monitor it? Uh, right. And, and, and how do you, how do you, you know, go through the logs? And I mean, we do a little bit of looking at the logs when we deploy it to figure out if it's working, but I don't do a lot of the ops side of DevOps.</v>
      </c>
      <c r="H110" s="3" t="str">
        <f>IFERROR(__xludf.DUMMYFUNCTION("""COMPUTED_VALUE"""),"No time to teach operations side.")</f>
        <v>No time to teach operations side.</v>
      </c>
      <c r="I110" s="2" t="s">
        <v>552</v>
      </c>
    </row>
    <row r="111">
      <c r="A111" s="50" t="s">
        <v>3003</v>
      </c>
      <c r="B111" s="2">
        <f>IFERROR(__xludf.DUMMYFUNCTION("""COMPUTED_VALUE"""),8.0)</f>
        <v>8</v>
      </c>
      <c r="C111" s="2">
        <f>IFERROR(__xludf.DUMMYFUNCTION("""COMPUTED_VALUE"""),17.0)</f>
        <v>17</v>
      </c>
      <c r="D111" s="2" t="str">
        <f>IFERROR(__xludf.DUMMYFUNCTION("""COMPUTED_VALUE"""),"R2 / R3")</f>
        <v>R2 / R3</v>
      </c>
      <c r="E111" s="2" t="str">
        <f>IFERROR(__xludf.DUMMYFUNCTION("""COMPUTED_VALUE"""),"Other Challenge and Recommendation")</f>
        <v>Other Challenge and Recommendation</v>
      </c>
      <c r="F111" s="2" t="str">
        <f>IFERROR(__xludf.DUMMYFUNCTION("""COMPUTED_VALUE"""),"challenge")</f>
        <v>challenge</v>
      </c>
      <c r="G111" s="3" t="str">
        <f>IFERROR(__xludf.DUMMYFUNCTION("""COMPUTED_VALUE"""),"the big challenge for me right, is, uh, is keeping up with the technology [...] so it's just challenging to keep up with all the new technology that's out there in DevOps.")</f>
        <v>the big challenge for me right, is, uh, is keeping up with the technology [...] so it's just challenging to keep up with all the new technology that's out there in DevOps.</v>
      </c>
      <c r="H111" s="3" t="str">
        <f>IFERROR(__xludf.DUMMYFUNCTION("""COMPUTED_VALUE"""),"Keep up with new technologies is challenging.")</f>
        <v>Keep up with new technologies is challenging.</v>
      </c>
      <c r="I111" s="2" t="s">
        <v>3004</v>
      </c>
    </row>
    <row r="112">
      <c r="A112" s="50" t="s">
        <v>3005</v>
      </c>
      <c r="B112" s="2">
        <f>IFERROR(__xludf.DUMMYFUNCTION("""COMPUTED_VALUE"""),9.0)</f>
        <v>9</v>
      </c>
      <c r="C112" s="2">
        <f>IFERROR(__xludf.DUMMYFUNCTION("""COMPUTED_VALUE"""),1.0)</f>
        <v>1</v>
      </c>
      <c r="D112" s="2" t="str">
        <f>IFERROR(__xludf.DUMMYFUNCTION("""COMPUTED_VALUE"""),"R1 / R2")</f>
        <v>R1 / R2</v>
      </c>
      <c r="E112" s="2" t="str">
        <f>IFERROR(__xludf.DUMMYFUNCTION("""COMPUTED_VALUE"""),"General Challenges and Recommendations")</f>
        <v>General Challenges and Recommendations</v>
      </c>
      <c r="F112" s="2" t="str">
        <f>IFERROR(__xludf.DUMMYFUNCTION("""COMPUTED_VALUE"""),"challenge")</f>
        <v>challenge</v>
      </c>
      <c r="G112" s="3" t="str">
        <f>IFERROR(__xludf.DUMMYFUNCTION("""COMPUTED_VALUE"""),"Many students, even master's students who are going through this kind of a program are probably, are we missing one or two frames of reference? A lot of students come through approaching this from the software engineering side of the house. They're learni"&amp;"ng how to build applications and that sort of thing. They have no real experience on operations and simply standing up infrastructure in the cloud is not operations, right? It's an aspect of operations. It's important piece of operations, but it's not eve"&amp;"rything you don't necessarily have people with the expertise in network design capacity plan, security, identity management")</f>
        <v>Many students, even master's students who are going through this kind of a program are probably, are we missing one or two frames of reference? A lot of students come through approaching this from the software engineering side of the house. They're learning how to build applications and that sort of thing. They have no real experience on operations and simply standing up infrastructure in the cloud is not operations, right? It's an aspect of operations. It's important piece of operations, but it's not everything you don't necessarily have people with the expertise in network design capacity plan, security, identity management</v>
      </c>
      <c r="H112" s="3" t="str">
        <f>IFERROR(__xludf.DUMMYFUNCTION("""COMPUTED_VALUE"""),"Students who came from the area of ​​software engineering lack experience in operational activities")</f>
        <v>Students who came from the area of ​​software engineering lack experience in operational activities</v>
      </c>
      <c r="I112" s="2" t="s">
        <v>554</v>
      </c>
    </row>
    <row r="113">
      <c r="A113" s="50" t="s">
        <v>3006</v>
      </c>
      <c r="B113" s="2">
        <f>IFERROR(__xludf.DUMMYFUNCTION("""COMPUTED_VALUE"""),9.0)</f>
        <v>9</v>
      </c>
      <c r="C113" s="2">
        <f>IFERROR(__xludf.DUMMYFUNCTION("""COMPUTED_VALUE"""),2.0)</f>
        <v>2</v>
      </c>
      <c r="D113" s="2" t="str">
        <f>IFERROR(__xludf.DUMMYFUNCTION("""COMPUTED_VALUE"""),"R2 / R3")</f>
        <v>R2 / R3</v>
      </c>
      <c r="E113" s="2" t="str">
        <f>IFERROR(__xludf.DUMMYFUNCTION("""COMPUTED_VALUE"""),"General Challenges and Recommendations")</f>
        <v>General Challenges and Recommendations</v>
      </c>
      <c r="F113" s="2" t="str">
        <f>IFERROR(__xludf.DUMMYFUNCTION("""COMPUTED_VALUE"""),"challenge")</f>
        <v>challenge</v>
      </c>
      <c r="G113" s="3" t="str">
        <f>IFERROR(__xludf.DUMMYFUNCTION("""COMPUTED_VALUE"""),"there's a lack of frame of reference on even what operations is. Most people get into operations, at least in my experience sort of accidentally.")</f>
        <v>there's a lack of frame of reference on even what operations is. Most people get into operations, at least in my experience sort of accidentally.</v>
      </c>
      <c r="H113" s="3" t="str">
        <f>IFERROR(__xludf.DUMMYFUNCTION("""COMPUTED_VALUE"""),"There's a lack of reference on operations concepts.")</f>
        <v>There's a lack of reference on operations concepts.</v>
      </c>
      <c r="I113" s="2" t="s">
        <v>3007</v>
      </c>
    </row>
    <row r="114">
      <c r="A114" s="50" t="s">
        <v>3008</v>
      </c>
      <c r="B114" s="2">
        <f>IFERROR(__xludf.DUMMYFUNCTION("""COMPUTED_VALUE"""),9.0)</f>
        <v>9</v>
      </c>
      <c r="C114" s="2">
        <f>IFERROR(__xludf.DUMMYFUNCTION("""COMPUTED_VALUE"""),3.0)</f>
        <v>3</v>
      </c>
      <c r="D114" s="2" t="str">
        <f>IFERROR(__xludf.DUMMYFUNCTION("""COMPUTED_VALUE"""),"R1 / R3")</f>
        <v>R1 / R3</v>
      </c>
      <c r="E114" s="2" t="str">
        <f>IFERROR(__xludf.DUMMYFUNCTION("""COMPUTED_VALUE"""),"General Challenges and Recommendations")</f>
        <v>General Challenges and Recommendations</v>
      </c>
      <c r="F114" s="2" t="str">
        <f>IFERROR(__xludf.DUMMYFUNCTION("""COMPUTED_VALUE"""),"challenge")</f>
        <v>challenge</v>
      </c>
      <c r="G114" s="3" t="str">
        <f>IFERROR(__xludf.DUMMYFUNCTION("""COMPUTED_VALUE"""),"You have a clean compile, you've tested your code and it meets the functional requirements. And that's the end of the story. But as we know, you know, even from software development,[...] it doesn't end once the software is built and once it's passed test"&amp;"ing, then it goes into this entire operational stage. We tend to ignore it. And I don't think we ignore it deliberately. We ignore it because it's hard")</f>
        <v>You have a clean compile, you've tested your code and it meets the functional requirements. And that's the end of the story. But as we know, you know, even from software development,[...] it doesn't end once the software is built and once it's passed testing, then it goes into this entire operational stage. We tend to ignore it. And I don't think we ignore it deliberately. We ignore it because it's hard</v>
      </c>
      <c r="H114" s="3" t="str">
        <f>IFERROR(__xludf.DUMMYFUNCTION("""COMPUTED_VALUE"""),"Teach operational activities is ignored because it is hard.")</f>
        <v>Teach operational activities is ignored because it is hard.</v>
      </c>
      <c r="I114" s="2" t="s">
        <v>3009</v>
      </c>
    </row>
    <row r="115">
      <c r="A115" s="50" t="s">
        <v>3010</v>
      </c>
      <c r="B115" s="2">
        <f>IFERROR(__xludf.DUMMYFUNCTION("""COMPUTED_VALUE"""),9.0)</f>
        <v>9</v>
      </c>
      <c r="C115" s="2">
        <f>IFERROR(__xludf.DUMMYFUNCTION("""COMPUTED_VALUE"""),3.0)</f>
        <v>3</v>
      </c>
      <c r="D115" s="2" t="str">
        <f>IFERROR(__xludf.DUMMYFUNCTION("""COMPUTED_VALUE"""),"R1 / R3")</f>
        <v>R1 / R3</v>
      </c>
      <c r="E115" s="2" t="str">
        <f>IFERROR(__xludf.DUMMYFUNCTION("""COMPUTED_VALUE"""),"General Challenges and Recommendations")</f>
        <v>General Challenges and Recommendations</v>
      </c>
      <c r="F115" s="2" t="str">
        <f>IFERROR(__xludf.DUMMYFUNCTION("""COMPUTED_VALUE"""),"challenge")</f>
        <v>challenge</v>
      </c>
      <c r="G115" s="3" t="str">
        <f>IFERROR(__xludf.DUMMYFUNCTION("""COMPUTED_VALUE""")," That simply wasn't a possibility and computer labs are not equipped for that sort of a thing because of necessity. Universities have to lock down their software and hardware to keep really bad things from happening.")</f>
        <v> That simply wasn't a possibility and computer labs are not equipped for that sort of a thing because of necessity. Universities have to lock down their software and hardware to keep really bad things from happening.</v>
      </c>
      <c r="H115" s="3" t="str">
        <f>IFERROR(__xludf.DUMMYFUNCTION("""COMPUTED_VALUE"""),"University labs have restrictions on installing tools.")</f>
        <v>University labs have restrictions on installing tools.</v>
      </c>
      <c r="I115" s="2" t="s">
        <v>560</v>
      </c>
    </row>
    <row r="116">
      <c r="A116" s="50" t="s">
        <v>3011</v>
      </c>
      <c r="B116" s="2">
        <f>IFERROR(__xludf.DUMMYFUNCTION("""COMPUTED_VALUE"""),9.0)</f>
        <v>9</v>
      </c>
      <c r="C116" s="2">
        <f>IFERROR(__xludf.DUMMYFUNCTION("""COMPUTED_VALUE"""),4.0)</f>
        <v>4</v>
      </c>
      <c r="D116" s="2" t="str">
        <f>IFERROR(__xludf.DUMMYFUNCTION("""COMPUTED_VALUE"""),"R1 / R3")</f>
        <v>R1 / R3</v>
      </c>
      <c r="E116" s="2" t="str">
        <f>IFERROR(__xludf.DUMMYFUNCTION("""COMPUTED_VALUE"""),"General Challenges and Recommendations")</f>
        <v>General Challenges and Recommendations</v>
      </c>
      <c r="F116" s="2" t="str">
        <f>IFERROR(__xludf.DUMMYFUNCTION("""COMPUTED_VALUE"""),"challenge")</f>
        <v>challenge</v>
      </c>
      <c r="G116" s="3" t="str">
        <f>IFERROR(__xludf.DUMMYFUNCTION("""COMPUTED_VALUE"""),"that is a lot of the devops principles that come into play. ")</f>
        <v>that is a lot of the devops principles that come into play. </v>
      </c>
      <c r="H116" s="3" t="str">
        <f>IFERROR(__xludf.DUMMYFUNCTION("""COMPUTED_VALUE"""),"Many devops concepts need to be taught.")</f>
        <v>Many devops concepts need to be taught.</v>
      </c>
      <c r="I116" s="2" t="s">
        <v>3012</v>
      </c>
    </row>
    <row r="117">
      <c r="A117" s="50" t="s">
        <v>3013</v>
      </c>
      <c r="B117" s="2">
        <f>IFERROR(__xludf.DUMMYFUNCTION("""COMPUTED_VALUE"""),9.0)</f>
        <v>9</v>
      </c>
      <c r="C117" s="2">
        <f>IFERROR(__xludf.DUMMYFUNCTION("""COMPUTED_VALUE"""),4.0)</f>
        <v>4</v>
      </c>
      <c r="D117" s="2" t="str">
        <f>IFERROR(__xludf.DUMMYFUNCTION("""COMPUTED_VALUE"""),"R1 / R3")</f>
        <v>R1 / R3</v>
      </c>
      <c r="E117" s="2" t="str">
        <f>IFERROR(__xludf.DUMMYFUNCTION("""COMPUTED_VALUE"""),"General Challenges and Recommendations")</f>
        <v>General Challenges and Recommendations</v>
      </c>
      <c r="F117" s="2" t="str">
        <f>IFERROR(__xludf.DUMMYFUNCTION("""COMPUTED_VALUE"""),"challenge")</f>
        <v>challenge</v>
      </c>
      <c r="G117" s="3" t="str">
        <f>IFERROR(__xludf.DUMMYFUNCTION("""COMPUTED_VALUE"""),"doing infrastructure as code or forms of configuration management or containerization, or even the simpler things like treating build scripts as first-class citizens alongside your code, start to not be meaningful until you have code at some minimum scale"&amp;" where there's a certain minimum complexity, both in terms of construction.")</f>
        <v>doing infrastructure as code or forms of configuration management or containerization, or even the simpler things like treating build scripts as first-class citizens alongside your code, start to not be meaningful until you have code at some minimum scale where there's a certain minimum complexity, both in terms of construction.</v>
      </c>
      <c r="H117" s="3" t="str">
        <f>IFERROR(__xludf.DUMMYFUNCTION("""COMPUTED_VALUE"""),"Devops concepts like configuration management and contaizerization need examples with mininum scale and complexity.")</f>
        <v>Devops concepts like configuration management and contaizerization need examples with mininum scale and complexity.</v>
      </c>
      <c r="I117" s="2" t="s">
        <v>3014</v>
      </c>
    </row>
    <row r="118">
      <c r="A118" s="50" t="s">
        <v>3015</v>
      </c>
      <c r="B118" s="2">
        <f>IFERROR(__xludf.DUMMYFUNCTION("""COMPUTED_VALUE"""),9.0)</f>
        <v>9</v>
      </c>
      <c r="C118" s="2">
        <f>IFERROR(__xludf.DUMMYFUNCTION("""COMPUTED_VALUE"""),4.0)</f>
        <v>4</v>
      </c>
      <c r="D118" s="2" t="str">
        <f>IFERROR(__xludf.DUMMYFUNCTION("""COMPUTED_VALUE"""),"R1 / R3")</f>
        <v>R1 / R3</v>
      </c>
      <c r="E118" s="2" t="str">
        <f>IFERROR(__xludf.DUMMYFUNCTION("""COMPUTED_VALUE"""),"General Challenges and Recommendations")</f>
        <v>General Challenges and Recommendations</v>
      </c>
      <c r="F118" s="2" t="str">
        <f>IFERROR(__xludf.DUMMYFUNCTION("""COMPUTED_VALUE"""),"challenge")</f>
        <v>challenge</v>
      </c>
      <c r="G118" s="3" t="str">
        <f>IFERROR(__xludf.DUMMYFUNCTION("""COMPUTED_VALUE"""),"And in terms of operation, a lot of the stuff that we tend to do at university tends to be fairly small because there's just realistic time constraints for how much people can get done in a week or two, or even in a term or a semester. ...  that I've foun"&amp;"d is a little bit of misconception or at least prejudice around what devops actually is.")</f>
        <v>And in terms of operation, a lot of the stuff that we tend to do at university tends to be fairly small because there's just realistic time constraints for how much people can get done in a week or two, or even in a term or a semester. ...  that I've found is a little bit of misconception or at least prejudice around what devops actually is.</v>
      </c>
      <c r="H118" s="3" t="str">
        <f>IFERROR(__xludf.DUMMYFUNCTION("""COMPUTED_VALUE"""),"Realistic time constraints prejudice around what devops actually is.")</f>
        <v>Realistic time constraints prejudice around what devops actually is.</v>
      </c>
      <c r="I118" s="2" t="s">
        <v>1595</v>
      </c>
    </row>
    <row r="119">
      <c r="A119" s="50" t="s">
        <v>3016</v>
      </c>
      <c r="B119" s="2">
        <f>IFERROR(__xludf.DUMMYFUNCTION("""COMPUTED_VALUE"""),9.0)</f>
        <v>9</v>
      </c>
      <c r="C119" s="2">
        <f>IFERROR(__xludf.DUMMYFUNCTION("""COMPUTED_VALUE"""),5.0)</f>
        <v>5</v>
      </c>
      <c r="D119" s="2" t="str">
        <f>IFERROR(__xludf.DUMMYFUNCTION("""COMPUTED_VALUE"""),"R1 / R3")</f>
        <v>R1 / R3</v>
      </c>
      <c r="E119" s="2" t="str">
        <f>IFERROR(__xludf.DUMMYFUNCTION("""COMPUTED_VALUE"""),"General Challenges and Recommendations")</f>
        <v>General Challenges and Recommendations</v>
      </c>
      <c r="F119" s="2" t="str">
        <f>IFERROR(__xludf.DUMMYFUNCTION("""COMPUTED_VALUE"""),"challenge")</f>
        <v>challenge</v>
      </c>
      <c r="G119" s="3" t="str">
        <f>IFERROR(__xludf.DUMMYFUNCTION("""COMPUTED_VALUE""")," People coming through the programs want to play with technology. ... But what that tends to foster is a technology centric attitude about what devops is all about. ... That's half the reason we got into this field in the first place, and it's a really fu"&amp;"n thing to be able to do, but it's not sufficient.  ")</f>
        <v> People coming through the programs want to play with technology. ... But what that tends to foster is a technology centric attitude about what devops is all about. ... That's half the reason we got into this field in the first place, and it's a really fun thing to be able to do, but it's not sufficient.  </v>
      </c>
      <c r="H119" s="3" t="str">
        <f>IFERROR(__xludf.DUMMYFUNCTION("""COMPUTED_VALUE"""),"Students came to course focused in the tools.")</f>
        <v>Students came to course focused in the tools.</v>
      </c>
      <c r="I119" s="2" t="s">
        <v>2481</v>
      </c>
    </row>
    <row r="120">
      <c r="A120" s="50" t="s">
        <v>3017</v>
      </c>
      <c r="B120" s="2">
        <f>IFERROR(__xludf.DUMMYFUNCTION("""COMPUTED_VALUE"""),9.0)</f>
        <v>9</v>
      </c>
      <c r="C120" s="2">
        <f>IFERROR(__xludf.DUMMYFUNCTION("""COMPUTED_VALUE"""),7.0)</f>
        <v>7</v>
      </c>
      <c r="D120" s="2" t="str">
        <f>IFERROR(__xludf.DUMMYFUNCTION("""COMPUTED_VALUE"""),"R2 / R3")</f>
        <v>R2 / R3</v>
      </c>
      <c r="E120" s="2" t="str">
        <f>IFERROR(__xludf.DUMMYFUNCTION("""COMPUTED_VALUE"""),"Environment Setup")</f>
        <v>Environment Setup</v>
      </c>
      <c r="F120" s="2" t="str">
        <f>IFERROR(__xludf.DUMMYFUNCTION("""COMPUTED_VALUE"""),"challenge")</f>
        <v>challenge</v>
      </c>
      <c r="G120" s="3" t="str">
        <f>IFERROR(__xludf.DUMMYFUNCTION("""COMPUTED_VALUE"""),"Yeah, so challenges, um, differences in people's environments, their hardware, for example, every term, you know, if I want people to do something locally with, let's say, setting up virtual machines or containers or, or whatever, there's always some budd"&amp;"y who has some strange hardware configuration that causes problems.")</f>
        <v>Yeah, so challenges, um, differences in people's environments, their hardware, for example, every term, you know, if I want people to do something locally with, let's say, setting up virtual machines or containers or, or whatever, there's always some buddy who has some strange hardware configuration that causes problems.</v>
      </c>
      <c r="H120" s="3" t="str">
        <f>IFERROR(__xludf.DUMMYFUNCTION("""COMPUTED_VALUE"""),"Differences in people's environments and their hardware configuration cause problems.")</f>
        <v>Differences in people's environments and their hardware configuration cause problems.</v>
      </c>
      <c r="I120" s="2" t="s">
        <v>1601</v>
      </c>
    </row>
    <row r="121">
      <c r="A121" s="50" t="s">
        <v>3018</v>
      </c>
      <c r="B121" s="2">
        <f>IFERROR(__xludf.DUMMYFUNCTION("""COMPUTED_VALUE"""),9.0)</f>
        <v>9</v>
      </c>
      <c r="C121" s="2">
        <f>IFERROR(__xludf.DUMMYFUNCTION("""COMPUTED_VALUE"""),8.0)</f>
        <v>8</v>
      </c>
      <c r="D121" s="2" t="str">
        <f>IFERROR(__xludf.DUMMYFUNCTION("""COMPUTED_VALUE"""),"R1 / R3")</f>
        <v>R1 / R3</v>
      </c>
      <c r="E121" s="2" t="str">
        <f>IFERROR(__xludf.DUMMYFUNCTION("""COMPUTED_VALUE"""),"Environment Setup")</f>
        <v>Environment Setup</v>
      </c>
      <c r="F121" s="2" t="str">
        <f>IFERROR(__xludf.DUMMYFUNCTION("""COMPUTED_VALUE"""),"challenge")</f>
        <v>challenge</v>
      </c>
      <c r="G121" s="3" t="str">
        <f>IFERROR(__xludf.DUMMYFUNCTION("""COMPUTED_VALUE"""),"And so every so often I'll get folks who have taken one class and then they start using the wrong version of the tool for the second class, because they have an upgraded or something along those lines. ")</f>
        <v>And so every so often I'll get folks who have taken one class and then they start using the wrong version of the tool for the second class, because they have an upgraded or something along those lines. </v>
      </c>
      <c r="H121" s="3" t="str">
        <f>IFERROR(__xludf.DUMMYFUNCTION("""COMPUTED_VALUE"""),"Tool versions upgrades require updating the labs during the classes.")</f>
        <v>Tool versions upgrades require updating the labs during the classes.</v>
      </c>
      <c r="I121" s="2" t="s">
        <v>570</v>
      </c>
    </row>
    <row r="122">
      <c r="A122" s="50" t="s">
        <v>3019</v>
      </c>
      <c r="B122" s="2">
        <f>IFERROR(__xludf.DUMMYFUNCTION("""COMPUTED_VALUE"""),9.0)</f>
        <v>9</v>
      </c>
      <c r="C122" s="2">
        <f>IFERROR(__xludf.DUMMYFUNCTION("""COMPUTED_VALUE"""),9.0)</f>
        <v>9</v>
      </c>
      <c r="D122" s="2" t="str">
        <f>IFERROR(__xludf.DUMMYFUNCTION("""COMPUTED_VALUE"""),"R1 / R3")</f>
        <v>R1 / R3</v>
      </c>
      <c r="E122" s="2" t="str">
        <f>IFERROR(__xludf.DUMMYFUNCTION("""COMPUTED_VALUE"""),"Tool / Technology")</f>
        <v>Tool / Technology</v>
      </c>
      <c r="F122" s="2" t="str">
        <f>IFERROR(__xludf.DUMMYFUNCTION("""COMPUTED_VALUE"""),"challenge")</f>
        <v>challenge</v>
      </c>
      <c r="G122" s="3" t="str">
        <f>IFERROR(__xludf.DUMMYFUNCTION("""COMPUTED_VALUE"""),"it is very dangerous to teach too many tools because it's simply conveys that it is a very technology centric approach.")</f>
        <v>it is very dangerous to teach too many tools because it's simply conveys that it is a very technology centric approach.</v>
      </c>
      <c r="H122" s="3" t="str">
        <f>IFERROR(__xludf.DUMMYFUNCTION("""COMPUTED_VALUE"""),"It is very dangerous to teach too many tools because it conveys that DevOps is a very technology centric approach.")</f>
        <v>It is very dangerous to teach too many tools because it conveys that DevOps is a very technology centric approach.</v>
      </c>
      <c r="I122" s="2" t="s">
        <v>3020</v>
      </c>
    </row>
    <row r="123">
      <c r="A123" s="50" t="s">
        <v>3021</v>
      </c>
      <c r="B123" s="2">
        <f>IFERROR(__xludf.DUMMYFUNCTION("""COMPUTED_VALUE"""),9.0)</f>
        <v>9</v>
      </c>
      <c r="C123" s="2">
        <f>IFERROR(__xludf.DUMMYFUNCTION("""COMPUTED_VALUE"""),11.0)</f>
        <v>11</v>
      </c>
      <c r="D123" s="2" t="str">
        <f>IFERROR(__xludf.DUMMYFUNCTION("""COMPUTED_VALUE"""),"R1 / R2")</f>
        <v>R1 / R2</v>
      </c>
      <c r="E123" s="2" t="str">
        <f>IFERROR(__xludf.DUMMYFUNCTION("""COMPUTED_VALUE"""),"Tool / Technology")</f>
        <v>Tool / Technology</v>
      </c>
      <c r="F123" s="2" t="str">
        <f>IFERROR(__xludf.DUMMYFUNCTION("""COMPUTED_VALUE"""),"challenge")</f>
        <v>challenge</v>
      </c>
      <c r="G123" s="3" t="str">
        <f>IFERROR(__xludf.DUMMYFUNCTION("""COMPUTED_VALUE"""),"because in though in the ops part, and this is the stuff I typically don't have as much time for simply because I know most of the students are coming from the software development side of the house.")</f>
        <v>because in though in the ops part, and this is the stuff I typically don't have as much time for simply because I know most of the students are coming from the software development side of the house.</v>
      </c>
      <c r="H123" s="3" t="str">
        <f>IFERROR(__xludf.DUMMYFUNCTION("""COMPUTED_VALUE"""),"In devops course with dev and ops together, ops part are not touched because dev parts take a lot of time")</f>
        <v>In devops course with dev and ops together, ops part are not touched because dev parts take a lot of time</v>
      </c>
      <c r="I123" s="2" t="s">
        <v>3022</v>
      </c>
    </row>
    <row r="124">
      <c r="A124" s="50" t="s">
        <v>3023</v>
      </c>
      <c r="B124" s="2">
        <f>IFERROR(__xludf.DUMMYFUNCTION("""COMPUTED_VALUE"""),9.0)</f>
        <v>9</v>
      </c>
      <c r="C124" s="2">
        <f>IFERROR(__xludf.DUMMYFUNCTION("""COMPUTED_VALUE"""),13.0)</f>
        <v>13</v>
      </c>
      <c r="D124" s="2" t="str">
        <f>IFERROR(__xludf.DUMMYFUNCTION("""COMPUTED_VALUE"""),"R1 / R3")</f>
        <v>R1 / R3</v>
      </c>
      <c r="E124" s="2" t="str">
        <f>IFERROR(__xludf.DUMMYFUNCTION("""COMPUTED_VALUE"""),"DevOps Concepts")</f>
        <v>DevOps Concepts</v>
      </c>
      <c r="F124" s="2" t="str">
        <f>IFERROR(__xludf.DUMMYFUNCTION("""COMPUTED_VALUE"""),"challenge")</f>
        <v>challenge</v>
      </c>
      <c r="G124" s="3" t="str">
        <f>IFERROR(__xludf.DUMMYFUNCTION("""COMPUTED_VALUE"""),"a lot of the folks who are attending the course are not at a level in the organization where they can actually affect culture [...] they are usually technologists and so they can very easily understand how they can affect things like technology decisions "&amp;"and the application of technology. But many of them are not, let's say at manager or director or senior director VP levels or things like that will, they can actually affect more senior levels of challenge there.")</f>
        <v>a lot of the folks who are attending the course are not at a level in the organization where they can actually affect culture [...] they are usually technologists and so they can very easily understand how they can affect things like technology decisions and the application of technology. But many of them are not, let's say at manager or director or senior director VP levels or things like that will, they can actually affect more senior levels of challenge there.</v>
      </c>
      <c r="H124" s="3" t="str">
        <f>IFERROR(__xludf.DUMMYFUNCTION("""COMPUTED_VALUE"""),"Students are not at a level in the their companies where they can introduce DevOps mindset.")</f>
        <v>Students are not at a level in the their companies where they can introduce DevOps mindset.</v>
      </c>
      <c r="I124" s="2" t="s">
        <v>3024</v>
      </c>
    </row>
    <row r="125">
      <c r="A125" s="50" t="s">
        <v>3025</v>
      </c>
      <c r="B125" s="2">
        <f>IFERROR(__xludf.DUMMYFUNCTION("""COMPUTED_VALUE"""),9.0)</f>
        <v>9</v>
      </c>
      <c r="C125" s="2">
        <f>IFERROR(__xludf.DUMMYFUNCTION("""COMPUTED_VALUE"""),14.0)</f>
        <v>14</v>
      </c>
      <c r="D125" s="2" t="str">
        <f>IFERROR(__xludf.DUMMYFUNCTION("""COMPUTED_VALUE"""),"R1 / R3")</f>
        <v>R1 / R3</v>
      </c>
      <c r="E125" s="2" t="str">
        <f>IFERROR(__xludf.DUMMYFUNCTION("""COMPUTED_VALUE"""),"DevOps Concepts")</f>
        <v>DevOps Concepts</v>
      </c>
      <c r="F125" s="2" t="str">
        <f>IFERROR(__xludf.DUMMYFUNCTION("""COMPUTED_VALUE"""),"challenge")</f>
        <v>challenge</v>
      </c>
      <c r="G125" s="3" t="str">
        <f>IFERROR(__xludf.DUMMYFUNCTION("""COMPUTED_VALUE"""),"you have to make a business case. It's a lot harder to do.")</f>
        <v>you have to make a business case. It's a lot harder to do.</v>
      </c>
      <c r="H125" s="3" t="str">
        <f>IFERROR(__xludf.DUMMYFUNCTION("""COMPUTED_VALUE"""),"It is hard to do a business case to demonstrate the importance of running devops.")</f>
        <v>It is hard to do a business case to demonstrate the importance of running devops.</v>
      </c>
      <c r="I125" s="2" t="s">
        <v>3026</v>
      </c>
    </row>
    <row r="126">
      <c r="A126" s="50" t="s">
        <v>3027</v>
      </c>
      <c r="B126" s="2">
        <f>IFERROR(__xludf.DUMMYFUNCTION("""COMPUTED_VALUE"""),9.0)</f>
        <v>9</v>
      </c>
      <c r="C126" s="2">
        <f>IFERROR(__xludf.DUMMYFUNCTION("""COMPUTED_VALUE"""),15.0)</f>
        <v>15</v>
      </c>
      <c r="D126" s="2" t="str">
        <f>IFERROR(__xludf.DUMMYFUNCTION("""COMPUTED_VALUE"""),"R1 / R3")</f>
        <v>R1 / R3</v>
      </c>
      <c r="E126" s="2" t="str">
        <f>IFERROR(__xludf.DUMMYFUNCTION("""COMPUTED_VALUE"""),"Class Preparation")</f>
        <v>Class Preparation</v>
      </c>
      <c r="F126" s="2" t="str">
        <f>IFERROR(__xludf.DUMMYFUNCTION("""COMPUTED_VALUE"""),"challenge")</f>
        <v>challenge</v>
      </c>
      <c r="G126" s="3" t="str">
        <f>IFERROR(__xludf.DUMMYFUNCTION("""COMPUTED_VALUE"""),"We move through some technology on the application side, we'll move through a little bit of technology on the operation side. What does change is trying to keep up to speed and keep the class adjusted for, uh, what the current state of the art and the cur"&amp;"rent understanding of best practices.")</f>
        <v>We move through some technology on the application side, we'll move through a little bit of technology on the operation side. What does change is trying to keep up to speed and keep the class adjusted for, uh, what the current state of the art and the current understanding of best practices.</v>
      </c>
      <c r="H126" s="3" t="str">
        <f>IFERROR(__xludf.DUMMYFUNCTION("""COMPUTED_VALUE"""),"It is difficult to keep up the current state of art of devops industry practices.")</f>
        <v>It is difficult to keep up the current state of art of devops industry practices.</v>
      </c>
      <c r="I126" s="2" t="s">
        <v>1628</v>
      </c>
    </row>
    <row r="127">
      <c r="A127" s="50" t="s">
        <v>3028</v>
      </c>
      <c r="B127" s="2">
        <f>IFERROR(__xludf.DUMMYFUNCTION("""COMPUTED_VALUE"""),9.0)</f>
        <v>9</v>
      </c>
      <c r="C127" s="2">
        <f>IFERROR(__xludf.DUMMYFUNCTION("""COMPUTED_VALUE"""),16.0)</f>
        <v>16</v>
      </c>
      <c r="D127" s="2" t="str">
        <f>IFERROR(__xludf.DUMMYFUNCTION("""COMPUTED_VALUE"""),"R1 / R2")</f>
        <v>R1 / R2</v>
      </c>
      <c r="E127" s="2" t="str">
        <f>IFERROR(__xludf.DUMMYFUNCTION("""COMPUTED_VALUE"""),"Class Preparation")</f>
        <v>Class Preparation</v>
      </c>
      <c r="F127" s="2" t="str">
        <f>IFERROR(__xludf.DUMMYFUNCTION("""COMPUTED_VALUE"""),"challenge")</f>
        <v>challenge</v>
      </c>
      <c r="G127" s="3" t="str">
        <f>IFERROR(__xludf.DUMMYFUNCTION("""COMPUTED_VALUE"""),"it can be a little harder garner garnering some of that same thing from, from industry, you know, unless you happen to find reasonably wit reasonably written, uh, white papers or, or things along those lines")</f>
        <v>it can be a little harder garner garnering some of that same thing from, from industry, you know, unless you happen to find reasonably wit reasonably written, uh, white papers or, or things along those lines</v>
      </c>
      <c r="H127" s="3" t="str">
        <f>IFERROR(__xludf.DUMMYFUNCTION("""COMPUTED_VALUE"""),"It is hard to find strategies from industry unless if it written in a paper")</f>
        <v>It is hard to find strategies from industry unless if it written in a paper</v>
      </c>
      <c r="I127" s="2" t="s">
        <v>3029</v>
      </c>
    </row>
    <row r="128">
      <c r="A128" s="50" t="s">
        <v>3030</v>
      </c>
      <c r="B128" s="2">
        <f>IFERROR(__xludf.DUMMYFUNCTION("""COMPUTED_VALUE"""),9.0)</f>
        <v>9</v>
      </c>
      <c r="C128" s="2">
        <f>IFERROR(__xludf.DUMMYFUNCTION("""COMPUTED_VALUE"""),17.0)</f>
        <v>17</v>
      </c>
      <c r="D128" s="2" t="str">
        <f>IFERROR(__xludf.DUMMYFUNCTION("""COMPUTED_VALUE"""),"R2 / R3")</f>
        <v>R2 / R3</v>
      </c>
      <c r="E128" s="2" t="str">
        <f>IFERROR(__xludf.DUMMYFUNCTION("""COMPUTED_VALUE"""),"Class Preparation")</f>
        <v>Class Preparation</v>
      </c>
      <c r="F128" s="2" t="str">
        <f>IFERROR(__xludf.DUMMYFUNCTION("""COMPUTED_VALUE"""),"challenge")</f>
        <v>challenge</v>
      </c>
      <c r="G128" s="3" t="str">
        <f>IFERROR(__xludf.DUMMYFUNCTION("""COMPUTED_VALUE"""),"There's always double checking the technology, making sure that if you've got any automation in your class, it still works after all of the API changes may have gone into effect on say your cloud provider or, or whatever, making sure you're on the latest "&amp;"and greatest versions of whatever tooling that you're going to use and make sure that the hat that hasn't broken things and always missing something and suddenly be scrambling before class going, oh no, no, no. They've changed something. I need to figure "&amp;"this out.")</f>
        <v>There's always double checking the technology, making sure that if you've got any automation in your class, it still works after all of the API changes may have gone into effect on say your cloud provider or, or whatever, making sure you're on the latest and greatest versions of whatever tooling that you're going to use and make sure that the hat that hasn't broken things and always missing something and suddenly be scrambling before class going, oh no, no, no. They've changed something. I need to figure this out.</v>
      </c>
      <c r="H128" s="3" t="str">
        <f>IFERROR(__xludf.DUMMYFUNCTION("""COMPUTED_VALUE"""),"Devops tools and APIs change fast and it may break your labs.")</f>
        <v>Devops tools and APIs change fast and it may break your labs.</v>
      </c>
      <c r="I128" s="2" t="s">
        <v>1630</v>
      </c>
    </row>
    <row r="129">
      <c r="A129" s="50" t="s">
        <v>3031</v>
      </c>
      <c r="B129" s="2">
        <f>IFERROR(__xludf.DUMMYFUNCTION("""COMPUTED_VALUE"""),9.0)</f>
        <v>9</v>
      </c>
      <c r="C129" s="2">
        <f>IFERROR(__xludf.DUMMYFUNCTION("""COMPUTED_VALUE"""),18.0)</f>
        <v>18</v>
      </c>
      <c r="D129" s="2" t="str">
        <f>IFERROR(__xludf.DUMMYFUNCTION("""COMPUTED_VALUE"""),"R1 / R3")</f>
        <v>R1 / R3</v>
      </c>
      <c r="E129" s="2" t="str">
        <f>IFERROR(__xludf.DUMMYFUNCTION("""COMPUTED_VALUE"""),"Pedagogy")</f>
        <v>Pedagogy</v>
      </c>
      <c r="F129" s="2" t="str">
        <f>IFERROR(__xludf.DUMMYFUNCTION("""COMPUTED_VALUE"""),"challenge")</f>
        <v>challenge</v>
      </c>
      <c r="G129" s="3" t="str">
        <f>IFERROR(__xludf.DUMMYFUNCTION("""COMPUTED_VALUE"""),"I have tended to get much more forgiving on how I, for example, grade this particular course, I used to be one of those folks. You know, you, you do the assignment and then you get a grade for the assignment. And at the end of the day, and this is not jus"&amp;"t devops it's it's for other courses as well. At the end of the day, I'm way more concerned. They're able to get stuff working and that you understand why we're doing it.")</f>
        <v>I have tended to get much more forgiving on how I, for example, grade this particular course, I used to be one of those folks. You know, you, you do the assignment and then you get a grade for the assignment. And at the end of the day, and this is not just devops it's it's for other courses as well. At the end of the day, I'm way more concerned. They're able to get stuff working and that you understand why we're doing it.</v>
      </c>
      <c r="H129" s="3" t="str">
        <f>IFERROR(__xludf.DUMMYFUNCTION("""COMPUTED_VALUE"""),"Task done by students do not means that students learned correctly.")</f>
        <v>Task done by students do not means that students learned correctly.</v>
      </c>
      <c r="I129" s="2" t="s">
        <v>609</v>
      </c>
    </row>
    <row r="130">
      <c r="A130" s="50" t="s">
        <v>3032</v>
      </c>
      <c r="B130" s="2">
        <f>IFERROR(__xludf.DUMMYFUNCTION("""COMPUTED_VALUE"""),9.0)</f>
        <v>9</v>
      </c>
      <c r="C130" s="2">
        <f>IFERROR(__xludf.DUMMYFUNCTION("""COMPUTED_VALUE"""),21.0)</f>
        <v>21</v>
      </c>
      <c r="D130" s="2" t="str">
        <f>IFERROR(__xludf.DUMMYFUNCTION("""COMPUTED_VALUE"""),"R1 / R2")</f>
        <v>R1 / R2</v>
      </c>
      <c r="E130" s="2" t="str">
        <f>IFERROR(__xludf.DUMMYFUNCTION("""COMPUTED_VALUE"""),"Pedagogy")</f>
        <v>Pedagogy</v>
      </c>
      <c r="F130" s="2" t="str">
        <f>IFERROR(__xludf.DUMMYFUNCTION("""COMPUTED_VALUE"""),"challenge")</f>
        <v>challenge</v>
      </c>
      <c r="G130" s="3" t="str">
        <f>IFERROR(__xludf.DUMMYFUNCTION("""COMPUTED_VALUE""")," For many people, getting them all to work together can be particularly challenging.")</f>
        <v> For many people, getting them all to work together can be particularly challenging.</v>
      </c>
      <c r="H130" s="3" t="str">
        <f>IFERROR(__xludf.DUMMYFUNCTION("""COMPUTED_VALUE"""),"For many people, getting all technologies to work together can be particularly challenging.")</f>
        <v>For many people, getting all technologies to work together can be particularly challenging.</v>
      </c>
      <c r="I130" s="2" t="s">
        <v>2521</v>
      </c>
    </row>
    <row r="131">
      <c r="A131" s="50" t="s">
        <v>3033</v>
      </c>
      <c r="B131" s="2">
        <f>IFERROR(__xludf.DUMMYFUNCTION("""COMPUTED_VALUE"""),9.0)</f>
        <v>9</v>
      </c>
      <c r="C131" s="2">
        <f>IFERROR(__xludf.DUMMYFUNCTION("""COMPUTED_VALUE"""),26.0)</f>
        <v>26</v>
      </c>
      <c r="D131" s="2" t="str">
        <f>IFERROR(__xludf.DUMMYFUNCTION("""COMPUTED_VALUE"""),"R1 / R2")</f>
        <v>R1 / R2</v>
      </c>
      <c r="E131" s="2" t="str">
        <f>IFERROR(__xludf.DUMMYFUNCTION("""COMPUTED_VALUE"""),"Curriculum")</f>
        <v>Curriculum</v>
      </c>
      <c r="F131" s="2" t="str">
        <f>IFERROR(__xludf.DUMMYFUNCTION("""COMPUTED_VALUE"""),"challenge")</f>
        <v>challenge</v>
      </c>
      <c r="G131" s="3" t="str">
        <f>IFERROR(__xludf.DUMMYFUNCTION("""COMPUTED_VALUE"""),"The challenge of course, is newer students obviously have more than enough to worry about just getting code wrong and compile. Uh, but that's, that's the reality, unfortunately, is the code just doesn't run a compile on a laptop, right? It runs out in pro"&amp;"duction and it's serving real people. And in this day and age, there is, there is stuff that goes with that. And the more folks understand, at least some of the sooner, the better I hope the software will be.
")</f>
        <v>The challenge of course, is newer students obviously have more than enough to worry about just getting code wrong and compile. Uh, but that's, that's the reality, unfortunately, is the code just doesn't run a compile on a laptop, right? It runs out in production and it's serving real people. And in this day and age, there is, there is stuff that goes with that. And the more folks understand, at least some of the sooner, the better I hope the software will be.
</v>
      </c>
      <c r="H131" s="3" t="str">
        <f>IFERROR(__xludf.DUMMYFUNCTION("""COMPUTED_VALUE"""),"It is difficult for students to understand the importance of if the software is correct, not just compilating.")</f>
        <v>It is difficult for students to understand the importance of if the software is correct, not just compilating.</v>
      </c>
      <c r="I131" s="2" t="s">
        <v>2528</v>
      </c>
    </row>
    <row r="132">
      <c r="A132" s="50" t="s">
        <v>3034</v>
      </c>
      <c r="B132" s="2">
        <f>IFERROR(__xludf.DUMMYFUNCTION("""COMPUTED_VALUE"""),10.0)</f>
        <v>10</v>
      </c>
      <c r="C132" s="2">
        <f>IFERROR(__xludf.DUMMYFUNCTION("""COMPUTED_VALUE"""),3.0)</f>
        <v>3</v>
      </c>
      <c r="D132" s="2" t="str">
        <f>IFERROR(__xludf.DUMMYFUNCTION("""COMPUTED_VALUE"""),"R1 / R3")</f>
        <v>R1 / R3</v>
      </c>
      <c r="E132" s="2" t="str">
        <f>IFERROR(__xludf.DUMMYFUNCTION("""COMPUTED_VALUE"""),"General Challenges and Recommendations")</f>
        <v>General Challenges and Recommendations</v>
      </c>
      <c r="F132" s="2" t="str">
        <f>IFERROR(__xludf.DUMMYFUNCTION("""COMPUTED_VALUE"""),"challenge")</f>
        <v>challenge</v>
      </c>
      <c r="G132" s="3" t="str">
        <f>IFERROR(__xludf.DUMMYFUNCTION("""COMPUTED_VALUE"""),"human challenges are when you start teaching DevOps, it doesn't look serious")</f>
        <v>human challenges are when you start teaching DevOps, it doesn't look serious</v>
      </c>
      <c r="H132" s="3" t="str">
        <f>IFERROR(__xludf.DUMMYFUNCTION("""COMPUTED_VALUE"""),"When you start teaching DevOps, it doesn't look relevant.")</f>
        <v>When you start teaching DevOps, it doesn't look relevant.</v>
      </c>
      <c r="I132" s="2" t="s">
        <v>3035</v>
      </c>
    </row>
    <row r="133">
      <c r="A133" s="50" t="s">
        <v>3036</v>
      </c>
      <c r="B133" s="2">
        <f>IFERROR(__xludf.DUMMYFUNCTION("""COMPUTED_VALUE"""),10.0)</f>
        <v>10</v>
      </c>
      <c r="C133" s="2">
        <f>IFERROR(__xludf.DUMMYFUNCTION("""COMPUTED_VALUE"""),5.0)</f>
        <v>5</v>
      </c>
      <c r="D133" s="2" t="str">
        <f>IFERROR(__xludf.DUMMYFUNCTION("""COMPUTED_VALUE"""),"R1 / R3")</f>
        <v>R1 / R3</v>
      </c>
      <c r="E133" s="2" t="str">
        <f>IFERROR(__xludf.DUMMYFUNCTION("""COMPUTED_VALUE"""),"General Challenges and Recommendations")</f>
        <v>General Challenges and Recommendations</v>
      </c>
      <c r="F133" s="2" t="str">
        <f>IFERROR(__xludf.DUMMYFUNCTION("""COMPUTED_VALUE"""),"challenge")</f>
        <v>challenge</v>
      </c>
      <c r="G133" s="3" t="str">
        <f>IFERROR(__xludf.DUMMYFUNCTION("""COMPUTED_VALUE""")," How to express concept, formalize them. But at the same time also focus on those issues that are getting in the way, the non-industrial way of, you know, writing scripts that if you want to industrialize them and they become Bulletproof, it's a mess, rig"&amp;"ht? It's difficult.")</f>
        <v> How to express concept, formalize them. But at the same time also focus on those issues that are getting in the way, the non-industrial way of, you know, writing scripts that if you want to industrialize them and they become Bulletproof, it's a mess, right? It's difficult.</v>
      </c>
      <c r="H133" s="3" t="str">
        <f>IFERROR(__xludf.DUMMYFUNCTION("""COMPUTED_VALUE"""),"It is difficult to express and formalize DevOps concepts. There is not bulletproof in devops")</f>
        <v>It is difficult to express and formalize DevOps concepts. There is not bulletproof in devops</v>
      </c>
      <c r="I133" s="2" t="s">
        <v>631</v>
      </c>
    </row>
    <row r="134">
      <c r="A134" s="50" t="s">
        <v>3037</v>
      </c>
      <c r="B134" s="2">
        <f>IFERROR(__xludf.DUMMYFUNCTION("""COMPUTED_VALUE"""),10.0)</f>
        <v>10</v>
      </c>
      <c r="C134" s="2">
        <f>IFERROR(__xludf.DUMMYFUNCTION("""COMPUTED_VALUE"""),5.0)</f>
        <v>5</v>
      </c>
      <c r="D134" s="2" t="str">
        <f>IFERROR(__xludf.DUMMYFUNCTION("""COMPUTED_VALUE"""),"R1 / R3")</f>
        <v>R1 / R3</v>
      </c>
      <c r="E134" s="2" t="str">
        <f>IFERROR(__xludf.DUMMYFUNCTION("""COMPUTED_VALUE"""),"General Challenges and Recommendations")</f>
        <v>General Challenges and Recommendations</v>
      </c>
      <c r="F134" s="2" t="str">
        <f>IFERROR(__xludf.DUMMYFUNCTION("""COMPUTED_VALUE"""),"challenge")</f>
        <v>challenge</v>
      </c>
      <c r="G134" s="3" t="str">
        <f>IFERROR(__xludf.DUMMYFUNCTION("""COMPUTED_VALUE"""),"when you do continuous integration, you need to have a logical base. You need to have a lot of people committing in the code changes often. Um, you need to have a lot of machines. You have the machines where people are coding. You have the machines that a"&amp;"re building, you have the machines that are the way you run your database. You have the machines where you deploy to. ... you need a lot of machines interconnected, um, with visibility on each other that they can get to.")</f>
        <v>when you do continuous integration, you need to have a logical base. You need to have a lot of people committing in the code changes often. Um, you need to have a lot of machines. You have the machines where people are coding. You have the machines that are building, you have the machines that are the way you run your database. You have the machines where you deploy to. ... you need a lot of machines interconnected, um, with visibility on each other that they can get to.</v>
      </c>
      <c r="H134" s="3" t="str">
        <f>IFERROR(__xludf.DUMMYFUNCTION("""COMPUTED_VALUE"""),"You need a lot of interconnected machines running different services with visibility on each other to do continous deployment.")</f>
        <v>You need a lot of interconnected machines running different services with visibility on each other to do continous deployment.</v>
      </c>
      <c r="I134" s="2" t="s">
        <v>3038</v>
      </c>
    </row>
    <row r="135">
      <c r="A135" s="50" t="s">
        <v>3039</v>
      </c>
      <c r="B135" s="2">
        <f>IFERROR(__xludf.DUMMYFUNCTION("""COMPUTED_VALUE"""),10.0)</f>
        <v>10</v>
      </c>
      <c r="C135" s="2">
        <f>IFERROR(__xludf.DUMMYFUNCTION("""COMPUTED_VALUE"""),6.0)</f>
        <v>6</v>
      </c>
      <c r="D135" s="2" t="str">
        <f>IFERROR(__xludf.DUMMYFUNCTION("""COMPUTED_VALUE"""),"R1 / R2")</f>
        <v>R1 / R2</v>
      </c>
      <c r="E135" s="2" t="str">
        <f>IFERROR(__xludf.DUMMYFUNCTION("""COMPUTED_VALUE"""),"General Challenges and Recommendations")</f>
        <v>General Challenges and Recommendations</v>
      </c>
      <c r="F135" s="2" t="str">
        <f>IFERROR(__xludf.DUMMYFUNCTION("""COMPUTED_VALUE"""),"challenge")</f>
        <v>challenge</v>
      </c>
      <c r="G135" s="3" t="str">
        <f>IFERROR(__xludf.DUMMYFUNCTION("""COMPUTED_VALUE"""),"You have the machines where you deploy to. Um, and quite often the students are in the same classroom on the wifi of the universities or the under the sub network, but the ports are not open [...] you need a lot of machines interconnected, um, with visibi"&amp;"lity on each other that they can get to. And that's hard in a, in a, in a classroom environment this year I had 78 students.")</f>
        <v>You have the machines where you deploy to. Um, and quite often the students are in the same classroom on the wifi of the universities or the under the sub network, but the ports are not open [...] you need a lot of machines interconnected, um, with visibility on each other that they can get to. And that's hard in a, in a, in a classroom environment this year I had 78 students.</v>
      </c>
      <c r="H135" s="3" t="str">
        <f>IFERROR(__xludf.DUMMYFUNCTION("""COMPUTED_VALUE"""),"The academy has network limitations to create near-real infrastructure")</f>
        <v>The academy has network limitations to create near-real infrastructure</v>
      </c>
      <c r="I135" s="2" t="s">
        <v>635</v>
      </c>
    </row>
    <row r="136">
      <c r="A136" s="50" t="s">
        <v>3040</v>
      </c>
      <c r="B136" s="2">
        <f>IFERROR(__xludf.DUMMYFUNCTION("""COMPUTED_VALUE"""),10.0)</f>
        <v>10</v>
      </c>
      <c r="C136" s="2">
        <f>IFERROR(__xludf.DUMMYFUNCTION("""COMPUTED_VALUE"""),7.0)</f>
        <v>7</v>
      </c>
      <c r="D136" s="2" t="str">
        <f>IFERROR(__xludf.DUMMYFUNCTION("""COMPUTED_VALUE"""),"R2 / R3")</f>
        <v>R2 / R3</v>
      </c>
      <c r="E136" s="2" t="str">
        <f>IFERROR(__xludf.DUMMYFUNCTION("""COMPUTED_VALUE"""),"General Challenges and Recommendations")</f>
        <v>General Challenges and Recommendations</v>
      </c>
      <c r="F136" s="2" t="str">
        <f>IFERROR(__xludf.DUMMYFUNCTION("""COMPUTED_VALUE"""),"challenge")</f>
        <v>challenge</v>
      </c>
      <c r="G136" s="3" t="str">
        <f>IFERROR(__xludf.DUMMYFUNCTION("""COMPUTED_VALUE""")," Uh, so that's a practical challenge that when you want to put it in place, and as a teacher, you want to be able to log into all of those machines to see what they're doing. .")</f>
        <v> Uh, so that's a practical challenge that when you want to put it in place, and as a teacher, you want to be able to log into all of those machines to see what they're doing. .</v>
      </c>
      <c r="H136" s="3" t="str">
        <f>IFERROR(__xludf.DUMMYFUNCTION("""COMPUTED_VALUE"""),"It's hard to supervise students' work when you use a lot of virtual machines")</f>
        <v>It's hard to supervise students' work when you use a lot of virtual machines</v>
      </c>
      <c r="I136" s="2" t="s">
        <v>3041</v>
      </c>
    </row>
    <row r="137">
      <c r="A137" s="50" t="s">
        <v>3042</v>
      </c>
      <c r="B137" s="2">
        <f>IFERROR(__xludf.DUMMYFUNCTION("""COMPUTED_VALUE"""),10.0)</f>
        <v>10</v>
      </c>
      <c r="C137" s="2">
        <f>IFERROR(__xludf.DUMMYFUNCTION("""COMPUTED_VALUE"""),7.0)</f>
        <v>7</v>
      </c>
      <c r="D137" s="2" t="str">
        <f>IFERROR(__xludf.DUMMYFUNCTION("""COMPUTED_VALUE"""),"R2 / R3")</f>
        <v>R2 / R3</v>
      </c>
      <c r="E137" s="2" t="str">
        <f>IFERROR(__xludf.DUMMYFUNCTION("""COMPUTED_VALUE"""),"General Challenges and Recommendations")</f>
        <v>General Challenges and Recommendations</v>
      </c>
      <c r="F137" s="2" t="str">
        <f>IFERROR(__xludf.DUMMYFUNCTION("""COMPUTED_VALUE"""),"challenge")</f>
        <v>challenge</v>
      </c>
      <c r="G137" s="3" t="str">
        <f>IFERROR(__xludf.DUMMYFUNCTION("""COMPUTED_VALUE""")," all of those challenges are basically how do you rebuild an enterprise environment into a university environment that is much more restrictive and doesn't have enough machines for them. Usually that's a real challenge.
")</f>
        <v> all of those challenges are basically how do you rebuild an enterprise environment into a university environment that is much more restrictive and doesn't have enough machines for them. Usually that's a real challenge.
</v>
      </c>
      <c r="H137" s="3" t="str">
        <f>IFERROR(__xludf.DUMMYFUNCTION("""COMPUTED_VALUE"""),"It is difficult to build an enterprise environment into a university environment that is much more restrictive and doesn't have enough machines for them.")</f>
        <v>It is difficult to build an enterprise environment into a university environment that is much more restrictive and doesn't have enough machines for them.</v>
      </c>
      <c r="I137" s="2" t="s">
        <v>3043</v>
      </c>
    </row>
    <row r="138">
      <c r="A138" s="50" t="s">
        <v>3044</v>
      </c>
      <c r="B138" s="2">
        <f>IFERROR(__xludf.DUMMYFUNCTION("""COMPUTED_VALUE"""),10.0)</f>
        <v>10</v>
      </c>
      <c r="C138" s="2">
        <f>IFERROR(__xludf.DUMMYFUNCTION("""COMPUTED_VALUE"""),8.0)</f>
        <v>8</v>
      </c>
      <c r="D138" s="2" t="str">
        <f>IFERROR(__xludf.DUMMYFUNCTION("""COMPUTED_VALUE"""),"R1 / R3")</f>
        <v>R1 / R3</v>
      </c>
      <c r="E138" s="2" t="str">
        <f>IFERROR(__xludf.DUMMYFUNCTION("""COMPUTED_VALUE"""),"General Challenges and Recommendations")</f>
        <v>General Challenges and Recommendations</v>
      </c>
      <c r="F138" s="2" t="str">
        <f>IFERROR(__xludf.DUMMYFUNCTION("""COMPUTED_VALUE"""),"challenge")</f>
        <v>challenge</v>
      </c>
      <c r="G138" s="3" t="str">
        <f>IFERROR(__xludf.DUMMYFUNCTION("""COMPUTED_VALUE"""),"It's hard for them to see all the values, layers of source side, real shoes, deployment side. They have a tendency because their students write code clicky works done, right? And it's hard to teach them that no wanting code somewhere.")</f>
        <v>It's hard for them to see all the values, layers of source side, real shoes, deployment side. They have a tendency because their students write code clicky works done, right? And it's hard to teach them that no wanting code somewhere.</v>
      </c>
      <c r="H138" s="3" t="str">
        <f>IFERROR(__xludf.DUMMYFUNCTION("""COMPUTED_VALUE"""),"It's hard for students to see the values of deployment side and they don't want to do operational activities.")</f>
        <v>It's hard for students to see the values of deployment side and they don't want to do operational activities.</v>
      </c>
      <c r="I138" s="2" t="s">
        <v>1660</v>
      </c>
    </row>
    <row r="139">
      <c r="A139" s="50" t="s">
        <v>3045</v>
      </c>
      <c r="B139" s="2">
        <f>IFERROR(__xludf.DUMMYFUNCTION("""COMPUTED_VALUE"""),10.0)</f>
        <v>10</v>
      </c>
      <c r="C139" s="2">
        <f>IFERROR(__xludf.DUMMYFUNCTION("""COMPUTED_VALUE"""),9.0)</f>
        <v>9</v>
      </c>
      <c r="D139" s="2" t="str">
        <f>IFERROR(__xludf.DUMMYFUNCTION("""COMPUTED_VALUE"""),"R1 / R3")</f>
        <v>R1 / R3</v>
      </c>
      <c r="E139" s="2" t="str">
        <f>IFERROR(__xludf.DUMMYFUNCTION("""COMPUTED_VALUE"""),"General Challenges and Recommendations")</f>
        <v>General Challenges and Recommendations</v>
      </c>
      <c r="F139" s="2" t="str">
        <f>IFERROR(__xludf.DUMMYFUNCTION("""COMPUTED_VALUE"""),"challenge")</f>
        <v>challenge</v>
      </c>
      <c r="G139" s="3" t="str">
        <f>IFERROR(__xludf.DUMMYFUNCTION("""COMPUTED_VALUE"""),"Um, we got bit by that quite a few times where we built the stack plus G unit plus, uh, we use, um, uh, some additional libraries for front-end, uh, some scripts for building Docker images, some version of Maven, and you need an Artifactory, et cetera. Yo"&amp;"u can get everything set up, everything works fine up to June. Then you go on summer break and then the next session comes up in September and you use what you've built well, too bad. In the middle of the summer, Jay, you need to release a new version tha"&amp;"t requires where some acts of Maven that requires this version of the stack of the student install from scratch on their machine.")</f>
        <v>Um, we got bit by that quite a few times where we built the stack plus G unit plus, uh, we use, um, uh, some additional libraries for front-end, uh, some scripts for building Docker images, some version of Maven, and you need an Artifactory, et cetera. You can get everything set up, everything works fine up to June. Then you go on summer break and then the next session comes up in September and you use what you've built well, too bad. In the middle of the summer, Jay, you need to release a new version that requires where some acts of Maven that requires this version of the stack of the student install from scratch on their machine.</v>
      </c>
      <c r="H139" s="3" t="str">
        <f>IFERROR(__xludf.DUMMYFUNCTION("""COMPUTED_VALUE"""),"Exercises can be outdated in few months.")</f>
        <v>Exercises can be outdated in few months.</v>
      </c>
      <c r="I139" s="2" t="s">
        <v>2547</v>
      </c>
    </row>
    <row r="140">
      <c r="A140" s="50" t="s">
        <v>3046</v>
      </c>
      <c r="B140" s="2">
        <f>IFERROR(__xludf.DUMMYFUNCTION("""COMPUTED_VALUE"""),10.0)</f>
        <v>10</v>
      </c>
      <c r="C140" s="2">
        <f>IFERROR(__xludf.DUMMYFUNCTION("""COMPUTED_VALUE"""),12.0)</f>
        <v>12</v>
      </c>
      <c r="D140" s="2" t="str">
        <f>IFERROR(__xludf.DUMMYFUNCTION("""COMPUTED_VALUE"""),"R2 / R3")</f>
        <v>R2 / R3</v>
      </c>
      <c r="E140" s="2" t="str">
        <f>IFERROR(__xludf.DUMMYFUNCTION("""COMPUTED_VALUE"""),"Environment Setup")</f>
        <v>Environment Setup</v>
      </c>
      <c r="F140" s="2" t="str">
        <f>IFERROR(__xludf.DUMMYFUNCTION("""COMPUTED_VALUE"""),"challenge")</f>
        <v>challenge</v>
      </c>
      <c r="G140" s="3" t="str">
        <f>IFERROR(__xludf.DUMMYFUNCTION("""COMPUTED_VALUE"""),"We have some students on Mac, some on Linux, some on windows, some have, um, computers that are led by the university. They came up to class with computers, with family version of windows that cannot run Docker because there is no hypervisor in it.
")</f>
        <v>We have some students on Mac, some on Linux, some on windows, some have, um, computers that are led by the university. They came up to class with computers, with family version of windows that cannot run Docker because there is no hypervisor in it.
</v>
      </c>
      <c r="H140" s="3" t="str">
        <f>IFERROR(__xludf.DUMMYFUNCTION("""COMPUTED_VALUE"""),"Different types of OSs can difficult the flow of environment setup.")</f>
        <v>Different types of OSs can difficult the flow of environment setup.</v>
      </c>
      <c r="I140" s="2" t="s">
        <v>1129</v>
      </c>
    </row>
    <row r="141">
      <c r="A141" s="50" t="s">
        <v>3047</v>
      </c>
      <c r="B141" s="2">
        <f>IFERROR(__xludf.DUMMYFUNCTION("""COMPUTED_VALUE"""),10.0)</f>
        <v>10</v>
      </c>
      <c r="C141" s="2">
        <f>IFERROR(__xludf.DUMMYFUNCTION("""COMPUTED_VALUE"""),13.0)</f>
        <v>13</v>
      </c>
      <c r="D141" s="2" t="str">
        <f>IFERROR(__xludf.DUMMYFUNCTION("""COMPUTED_VALUE"""),"R1 / R3")</f>
        <v>R1 / R3</v>
      </c>
      <c r="E141" s="2" t="str">
        <f>IFERROR(__xludf.DUMMYFUNCTION("""COMPUTED_VALUE"""),"Environment Setup")</f>
        <v>Environment Setup</v>
      </c>
      <c r="F141" s="2" t="str">
        <f>IFERROR(__xludf.DUMMYFUNCTION("""COMPUTED_VALUE"""),"challenge")</f>
        <v>challenge</v>
      </c>
      <c r="G141" s="3" t="str">
        <f>IFERROR(__xludf.DUMMYFUNCTION("""COMPUTED_VALUE"""),"if you're the things and they've launch, you know, Docker and Jenkins, that's it or JDK, that's it. There's no memory left. Um, so is the environment set up is hard. ")</f>
        <v>if you're the things and they've launch, you know, Docker and Jenkins, that's it or JDK, that's it. There's no memory left. Um, so is the environment set up is hard. </v>
      </c>
      <c r="H141" s="3" t="str">
        <f>IFERROR(__xludf.DUMMYFUNCTION("""COMPUTED_VALUE"""),"Local environment set up is hard because it needs lots of hardware.")</f>
        <v>Local environment set up is hard because it needs lots of hardware.</v>
      </c>
      <c r="I141" s="2" t="s">
        <v>3048</v>
      </c>
    </row>
    <row r="142">
      <c r="A142" s="50" t="s">
        <v>3049</v>
      </c>
      <c r="B142" s="2">
        <f>IFERROR(__xludf.DUMMYFUNCTION("""COMPUTED_VALUE"""),10.0)</f>
        <v>10</v>
      </c>
      <c r="C142" s="2">
        <f>IFERROR(__xludf.DUMMYFUNCTION("""COMPUTED_VALUE"""),17.0)</f>
        <v>17</v>
      </c>
      <c r="D142" s="2" t="str">
        <f>IFERROR(__xludf.DUMMYFUNCTION("""COMPUTED_VALUE"""),"R2 / R3")</f>
        <v>R2 / R3</v>
      </c>
      <c r="E142" s="2" t="str">
        <f>IFERROR(__xludf.DUMMYFUNCTION("""COMPUTED_VALUE"""),"DevOps Concepts")</f>
        <v>DevOps Concepts</v>
      </c>
      <c r="F142" s="2" t="str">
        <f>IFERROR(__xludf.DUMMYFUNCTION("""COMPUTED_VALUE"""),"challenge")</f>
        <v>challenge</v>
      </c>
      <c r="G142" s="3" t="str">
        <f>IFERROR(__xludf.DUMMYFUNCTION("""COMPUTED_VALUE"""),"So one of the challenges regarding the culture, if you want, is that when you tell them that initially they don't believe it. And only when they start doing it, they do believe it. ")</f>
        <v>So one of the challenges regarding the culture, if you want, is that when you tell them that initially they don't believe it. And only when they start doing it, they do believe it. </v>
      </c>
      <c r="H142" s="3" t="str">
        <f>IFERROR(__xludf.DUMMYFUNCTION("""COMPUTED_VALUE"""),"Students only believe the importance of DevOps mindset when they experiment in the practice.")</f>
        <v>Students only believe the importance of DevOps mindset when they experiment in the practice.</v>
      </c>
      <c r="I142" s="2" t="s">
        <v>1133</v>
      </c>
    </row>
    <row r="143">
      <c r="A143" s="50" t="s">
        <v>3050</v>
      </c>
      <c r="B143" s="2">
        <f>IFERROR(__xludf.DUMMYFUNCTION("""COMPUTED_VALUE"""),10.0)</f>
        <v>10</v>
      </c>
      <c r="C143" s="2">
        <f>IFERROR(__xludf.DUMMYFUNCTION("""COMPUTED_VALUE"""),19.0)</f>
        <v>19</v>
      </c>
      <c r="D143" s="2" t="str">
        <f>IFERROR(__xludf.DUMMYFUNCTION("""COMPUTED_VALUE"""),"R1 / R3")</f>
        <v>R1 / R3</v>
      </c>
      <c r="E143" s="2" t="str">
        <f>IFERROR(__xludf.DUMMYFUNCTION("""COMPUTED_VALUE"""),"Class Preparation")</f>
        <v>Class Preparation</v>
      </c>
      <c r="F143" s="2" t="str">
        <f>IFERROR(__xludf.DUMMYFUNCTION("""COMPUTED_VALUE"""),"challenge")</f>
        <v>challenge</v>
      </c>
      <c r="G143" s="3" t="str">
        <f>IFERROR(__xludf.DUMMYFUNCTION("""COMPUTED_VALUE"""),"what is hard is to be prepared with, um, a technology stack that is robust and simple or very simple so that you know exactly what you look when you help them debug.")</f>
        <v>what is hard is to be prepared with, um, a technology stack that is robust and simple or very simple so that you know exactly what you look when you help them debug.</v>
      </c>
      <c r="H143" s="3" t="str">
        <f>IFERROR(__xludf.DUMMYFUNCTION("""COMPUTED_VALUE"""),"It is hard to prepare a robust and simple technology stack.")</f>
        <v>It is hard to prepare a robust and simple technology stack.</v>
      </c>
      <c r="I143" s="2" t="s">
        <v>3051</v>
      </c>
    </row>
    <row r="144">
      <c r="A144" s="50" t="s">
        <v>3052</v>
      </c>
      <c r="B144" s="2">
        <f>IFERROR(__xludf.DUMMYFUNCTION("""COMPUTED_VALUE"""),10.0)</f>
        <v>10</v>
      </c>
      <c r="C144" s="2">
        <f>IFERROR(__xludf.DUMMYFUNCTION("""COMPUTED_VALUE"""),19.0)</f>
        <v>19</v>
      </c>
      <c r="D144" s="2" t="str">
        <f>IFERROR(__xludf.DUMMYFUNCTION("""COMPUTED_VALUE"""),"R1 / R3")</f>
        <v>R1 / R3</v>
      </c>
      <c r="E144" s="2" t="str">
        <f>IFERROR(__xludf.DUMMYFUNCTION("""COMPUTED_VALUE"""),"Class Preparation")</f>
        <v>Class Preparation</v>
      </c>
      <c r="F144" s="2" t="str">
        <f>IFERROR(__xludf.DUMMYFUNCTION("""COMPUTED_VALUE"""),"challenge")</f>
        <v>challenge</v>
      </c>
      <c r="G144" s="3" t="str">
        <f>IFERROR(__xludf.DUMMYFUNCTION("""COMPUTED_VALUE"""),"It's mostly the preparation of the exercise that is demanding.")</f>
        <v>It's mostly the preparation of the exercise that is demanding.</v>
      </c>
      <c r="H144" s="3" t="str">
        <f>IFERROR(__xludf.DUMMYFUNCTION("""COMPUTED_VALUE"""),"The preparation of the exercise is demanding.")</f>
        <v>The preparation of the exercise is demanding.</v>
      </c>
      <c r="I144" s="2" t="s">
        <v>2571</v>
      </c>
    </row>
    <row r="145">
      <c r="A145" s="50" t="s">
        <v>3053</v>
      </c>
      <c r="B145" s="2">
        <f>IFERROR(__xludf.DUMMYFUNCTION("""COMPUTED_VALUE"""),10.0)</f>
        <v>10</v>
      </c>
      <c r="C145" s="2">
        <f>IFERROR(__xludf.DUMMYFUNCTION("""COMPUTED_VALUE"""),19.0)</f>
        <v>19</v>
      </c>
      <c r="D145" s="2" t="str">
        <f>IFERROR(__xludf.DUMMYFUNCTION("""COMPUTED_VALUE"""),"R1 / R3")</f>
        <v>R1 / R3</v>
      </c>
      <c r="E145" s="2" t="str">
        <f>IFERROR(__xludf.DUMMYFUNCTION("""COMPUTED_VALUE"""),"Class Preparation")</f>
        <v>Class Preparation</v>
      </c>
      <c r="F145" s="2" t="str">
        <f>IFERROR(__xludf.DUMMYFUNCTION("""COMPUTED_VALUE"""),"challenge")</f>
        <v>challenge</v>
      </c>
      <c r="G145" s="3" t="str">
        <f>IFERROR(__xludf.DUMMYFUNCTION("""COMPUTED_VALUE"""),"Um, but then the preparation for the class itself was a concept class. That's, I've done that. Um, and then adjust, but it's no more difficult than any other class. It depends what you know, and what you do as a job. Right? And that's part of my job to do"&amp;" it. So I feel comfortable")</f>
        <v>Um, but then the preparation for the class itself was a concept class. That's, I've done that. Um, and then adjust, but it's no more difficult than any other class. It depends what you know, and what you do as a job. Right? And that's part of my job to do it. So I feel comfortable</v>
      </c>
      <c r="H145" s="3" t="str">
        <f>IFERROR(__xludf.DUMMYFUNCTION("""COMPUTED_VALUE"""),"Teach DevOps requires much knowledge from the professor who could not be familiar with it.")</f>
        <v>Teach DevOps requires much knowledge from the professor who could not be familiar with it.</v>
      </c>
      <c r="I145" s="2" t="s">
        <v>673</v>
      </c>
    </row>
    <row r="146">
      <c r="A146" s="50" t="s">
        <v>3054</v>
      </c>
      <c r="B146" s="2">
        <f>IFERROR(__xludf.DUMMYFUNCTION("""COMPUTED_VALUE"""),10.0)</f>
        <v>10</v>
      </c>
      <c r="C146" s="2">
        <f>IFERROR(__xludf.DUMMYFUNCTION("""COMPUTED_VALUE"""),24.0)</f>
        <v>24</v>
      </c>
      <c r="D146" s="2" t="str">
        <f>IFERROR(__xludf.DUMMYFUNCTION("""COMPUTED_VALUE"""),"R1 / R3")</f>
        <v>R1 / R3</v>
      </c>
      <c r="E146" s="2" t="str">
        <f>IFERROR(__xludf.DUMMYFUNCTION("""COMPUTED_VALUE"""),"Assessment")</f>
        <v>Assessment</v>
      </c>
      <c r="F146" s="2" t="str">
        <f>IFERROR(__xludf.DUMMYFUNCTION("""COMPUTED_VALUE"""),"challenge")</f>
        <v>challenge</v>
      </c>
      <c r="G146" s="3" t="str">
        <f>IFERROR(__xludf.DUMMYFUNCTION("""COMPUTED_VALUE"""),"I check out the code of every group. And I look at the commits who has done what I look at. How has it been coded, easy to blatant copy paste of somebody else's code? Is it innovative? I run all the scripts. I ask them to provide me with scripts that are "&amp;"portable, that will run on my computer. Um, and there has to be a bill script or run script, uh, scenario, script, et cetera. And I run them on my computer. It takes four it's very long. Uh, but it's an effective way of checking what they've done.")</f>
        <v>I check out the code of every group. And I look at the commits who has done what I look at. How has it been coded, easy to blatant copy paste of somebody else's code? Is it innovative? I run all the scripts. I ask them to provide me with scripts that are portable, that will run on my computer. Um, and there has to be a bill script or run script, uh, scenario, script, et cetera. And I run them on my computer. It takes four it's very long. Uh, but it's an effective way of checking what they've done.</v>
      </c>
      <c r="H146" s="3" t="str">
        <f>IFERROR(__xludf.DUMMYFUNCTION("""COMPUTED_VALUE"""),"It is arduous to analyse the code and run scripts for each project.")</f>
        <v>It is arduous to analyse the code and run scripts for each project.</v>
      </c>
      <c r="I146" s="2" t="s">
        <v>683</v>
      </c>
    </row>
    <row r="147">
      <c r="A147" s="50" t="s">
        <v>3055</v>
      </c>
      <c r="B147" s="2">
        <f>IFERROR(__xludf.DUMMYFUNCTION("""COMPUTED_VALUE"""),10.0)</f>
        <v>10</v>
      </c>
      <c r="C147" s="2">
        <f>IFERROR(__xludf.DUMMYFUNCTION("""COMPUTED_VALUE"""),25.0)</f>
        <v>25</v>
      </c>
      <c r="D147" s="2" t="str">
        <f>IFERROR(__xludf.DUMMYFUNCTION("""COMPUTED_VALUE"""),"R1 / R3")</f>
        <v>R1 / R3</v>
      </c>
      <c r="E147" s="2" t="str">
        <f>IFERROR(__xludf.DUMMYFUNCTION("""COMPUTED_VALUE"""),"Curriculum")</f>
        <v>Curriculum</v>
      </c>
      <c r="F147" s="2" t="str">
        <f>IFERROR(__xludf.DUMMYFUNCTION("""COMPUTED_VALUE"""),"challenge")</f>
        <v>challenge</v>
      </c>
      <c r="G147" s="3" t="str">
        <f>IFERROR(__xludf.DUMMYFUNCTION("""COMPUTED_VALUE"""),"How do you work in sprints? ")</f>
        <v>How do you work in sprints? </v>
      </c>
      <c r="H147" s="3" t="str">
        <f>IFERROR(__xludf.DUMMYFUNCTION("""COMPUTED_VALUE"""),"It is difficult how to organize each sprint.")</f>
        <v>It is difficult how to organize each sprint.</v>
      </c>
      <c r="I147" s="2" t="s">
        <v>685</v>
      </c>
    </row>
    <row r="148">
      <c r="A148" s="50" t="s">
        <v>3056</v>
      </c>
      <c r="B148" s="2">
        <f>IFERROR(__xludf.DUMMYFUNCTION("""COMPUTED_VALUE"""),10.0)</f>
        <v>10</v>
      </c>
      <c r="C148" s="2">
        <f>IFERROR(__xludf.DUMMYFUNCTION("""COMPUTED_VALUE"""),27.0)</f>
        <v>27</v>
      </c>
      <c r="D148" s="2" t="str">
        <f>IFERROR(__xludf.DUMMYFUNCTION("""COMPUTED_VALUE"""),"R2 / R3")</f>
        <v>R2 / R3</v>
      </c>
      <c r="E148" s="2" t="str">
        <f>IFERROR(__xludf.DUMMYFUNCTION("""COMPUTED_VALUE"""),"Curriculum")</f>
        <v>Curriculum</v>
      </c>
      <c r="F148" s="2" t="str">
        <f>IFERROR(__xludf.DUMMYFUNCTION("""COMPUTED_VALUE"""),"challenge")</f>
        <v>challenge</v>
      </c>
      <c r="G148" s="3" t="str">
        <f>IFERROR(__xludf.DUMMYFUNCTION("""COMPUTED_VALUE"""),"Some of them do have a lot of programming and are fairly mature, but because when we recruit, they be coming from different schools
")</f>
        <v>Some of them do have a lot of programming and are fairly mature, but because when we recruit, they be coming from different schools
</v>
      </c>
      <c r="H148" s="3" t="str">
        <f>IFERROR(__xludf.DUMMYFUNCTION("""COMPUTED_VALUE"""),"Students have different backgrouds.")</f>
        <v>Students have different backgrouds.</v>
      </c>
      <c r="I148" s="2" t="s">
        <v>3057</v>
      </c>
    </row>
    <row r="149">
      <c r="A149" s="50" t="s">
        <v>3058</v>
      </c>
      <c r="B149" s="2">
        <f>IFERROR(__xludf.DUMMYFUNCTION("""COMPUTED_VALUE"""),10.0)</f>
        <v>10</v>
      </c>
      <c r="C149" s="2">
        <f>IFERROR(__xludf.DUMMYFUNCTION("""COMPUTED_VALUE"""),28.0)</f>
        <v>28</v>
      </c>
      <c r="D149" s="2" t="str">
        <f>IFERROR(__xludf.DUMMYFUNCTION("""COMPUTED_VALUE"""),"R1 / R3")</f>
        <v>R1 / R3</v>
      </c>
      <c r="E149" s="2" t="str">
        <f>IFERROR(__xludf.DUMMYFUNCTION("""COMPUTED_VALUE"""),"Other Challenge and Recommendation")</f>
        <v>Other Challenge and Recommendation</v>
      </c>
      <c r="F149" s="2" t="str">
        <f>IFERROR(__xludf.DUMMYFUNCTION("""COMPUTED_VALUE"""),"challenge")</f>
        <v>challenge</v>
      </c>
      <c r="G149" s="3" t="str">
        <f>IFERROR(__xludf.DUMMYFUNCTION("""COMPUTED_VALUE"""),"whatever they found it valuable usually, um, after the class is done at the end of the year, they don't always see the value. It's the kind of class where you want them to know this stuff, because once they will be in the industry, they'll need it every d"&amp;"ay. Um, but they don't know they need it every day. ")</f>
        <v>whatever they found it valuable usually, um, after the class is done at the end of the year, they don't always see the value. It's the kind of class where you want them to know this stuff, because once they will be in the industry, they'll need it every day. Um, but they don't know they need it every day. </v>
      </c>
      <c r="H149" s="3" t="str">
        <f>IFERROR(__xludf.DUMMYFUNCTION("""COMPUTED_VALUE"""),"Students do not know that they will need DevOps concepts at industry every day.")</f>
        <v>Students do not know that they will need DevOps concepts at industry every day.</v>
      </c>
      <c r="I149" s="2" t="s">
        <v>3059</v>
      </c>
    </row>
    <row r="150">
      <c r="A150" s="50" t="s">
        <v>3060</v>
      </c>
      <c r="B150" s="2">
        <f>IFERROR(__xludf.DUMMYFUNCTION("""COMPUTED_VALUE"""),10.0)</f>
        <v>10</v>
      </c>
      <c r="C150" s="2">
        <f>IFERROR(__xludf.DUMMYFUNCTION("""COMPUTED_VALUE"""),28.0)</f>
        <v>28</v>
      </c>
      <c r="D150" s="2" t="str">
        <f>IFERROR(__xludf.DUMMYFUNCTION("""COMPUTED_VALUE"""),"R1 / R3")</f>
        <v>R1 / R3</v>
      </c>
      <c r="E150" s="2" t="str">
        <f>IFERROR(__xludf.DUMMYFUNCTION("""COMPUTED_VALUE"""),"Other Challenge and Recommendation")</f>
        <v>Other Challenge and Recommendation</v>
      </c>
      <c r="F150" s="2" t="str">
        <f>IFERROR(__xludf.DUMMYFUNCTION("""COMPUTED_VALUE"""),"challenge")</f>
        <v>challenge</v>
      </c>
      <c r="G150" s="3" t="str">
        <f>IFERROR(__xludf.DUMMYFUNCTION("""COMPUTED_VALUE"""),"We show them Kubernetes, um, but they don't really have time to practice on Kubernetes")</f>
        <v>We show them Kubernetes, um, but they don't really have time to practice on Kubernetes</v>
      </c>
      <c r="H150" s="3" t="str">
        <f>IFERROR(__xludf.DUMMYFUNCTION("""COMPUTED_VALUE"""),"They don't have time to practice on Kubernetes because it is lot of work.")</f>
        <v>They don't have time to practice on Kubernetes because it is lot of work.</v>
      </c>
      <c r="I150" s="2" t="s">
        <v>693</v>
      </c>
    </row>
    <row r="151">
      <c r="A151" s="50" t="s">
        <v>3061</v>
      </c>
      <c r="B151" s="2">
        <f>IFERROR(__xludf.DUMMYFUNCTION("""COMPUTED_VALUE"""),10.0)</f>
        <v>10</v>
      </c>
      <c r="C151" s="2">
        <f>IFERROR(__xludf.DUMMYFUNCTION("""COMPUTED_VALUE"""),30.0)</f>
        <v>30</v>
      </c>
      <c r="D151" s="2" t="str">
        <f>IFERROR(__xludf.DUMMYFUNCTION("""COMPUTED_VALUE"""),"R1 / R3")</f>
        <v>R1 / R3</v>
      </c>
      <c r="E151" s="2" t="str">
        <f>IFERROR(__xludf.DUMMYFUNCTION("""COMPUTED_VALUE"""),"Other Challenge and Recommendation")</f>
        <v>Other Challenge and Recommendation</v>
      </c>
      <c r="F151" s="2" t="str">
        <f>IFERROR(__xludf.DUMMYFUNCTION("""COMPUTED_VALUE"""),"challenge")</f>
        <v>challenge</v>
      </c>
      <c r="G151" s="3" t="str">
        <f>IFERROR(__xludf.DUMMYFUNCTION("""COMPUTED_VALUE"""),"That's exactly. That's a lot for one semester")</f>
        <v>That's exactly. That's a lot for one semester</v>
      </c>
      <c r="H151" s="3" t="str">
        <f>IFERROR(__xludf.DUMMYFUNCTION("""COMPUTED_VALUE"""),"One semester is insufficient time to teach DevOps.")</f>
        <v>One semester is insufficient time to teach DevOps.</v>
      </c>
      <c r="I151" s="2" t="s">
        <v>695</v>
      </c>
    </row>
    <row r="152">
      <c r="A152" s="50" t="s">
        <v>3062</v>
      </c>
      <c r="B152" s="2">
        <f>IFERROR(__xludf.DUMMYFUNCTION("""COMPUTED_VALUE"""),11.0)</f>
        <v>11</v>
      </c>
      <c r="C152" s="2">
        <f>IFERROR(__xludf.DUMMYFUNCTION("""COMPUTED_VALUE"""),3.0)</f>
        <v>3</v>
      </c>
      <c r="D152" s="2" t="str">
        <f>IFERROR(__xludf.DUMMYFUNCTION("""COMPUTED_VALUE"""),"R1 / R3")</f>
        <v>R1 / R3</v>
      </c>
      <c r="E152" s="2" t="str">
        <f>IFERROR(__xludf.DUMMYFUNCTION("""COMPUTED_VALUE"""),"General Challenges and Recommendations")</f>
        <v>General Challenges and Recommendations</v>
      </c>
      <c r="F152" s="2" t="str">
        <f>IFERROR(__xludf.DUMMYFUNCTION("""COMPUTED_VALUE"""),"challenge")</f>
        <v>challenge</v>
      </c>
      <c r="G152" s="3" t="str">
        <f>IFERROR(__xludf.DUMMYFUNCTION("""COMPUTED_VALUE""")," And then the books are more industry oriented. Like, uh, we don't look at the, uh, uh, more with teaching parts, like, um, so there is no textbook, actually it is more industry document, eh, discussion about DevOps.")</f>
        <v> And then the books are more industry oriented. Like, uh, we don't look at the, uh, uh, more with teaching parts, like, um, so there is no textbook, actually it is more industry document, eh, discussion about DevOps.</v>
      </c>
      <c r="H152" s="3" t="str">
        <f>IFERROR(__xludf.DUMMYFUNCTION("""COMPUTED_VALUE"""),"The books are more industry oriented. There is no textbook about with discussion about DevOps concepts.")</f>
        <v>The books are more industry oriented. There is no textbook about with discussion about DevOps concepts.</v>
      </c>
      <c r="I152" s="2" t="s">
        <v>1705</v>
      </c>
    </row>
    <row r="153">
      <c r="A153" s="50" t="s">
        <v>3063</v>
      </c>
      <c r="B153" s="2">
        <f>IFERROR(__xludf.DUMMYFUNCTION("""COMPUTED_VALUE"""),11.0)</f>
        <v>11</v>
      </c>
      <c r="C153" s="2">
        <f>IFERROR(__xludf.DUMMYFUNCTION("""COMPUTED_VALUE"""),6.0)</f>
        <v>6</v>
      </c>
      <c r="D153" s="2" t="str">
        <f>IFERROR(__xludf.DUMMYFUNCTION("""COMPUTED_VALUE"""),"R1 / R2")</f>
        <v>R1 / R2</v>
      </c>
      <c r="E153" s="2" t="str">
        <f>IFERROR(__xludf.DUMMYFUNCTION("""COMPUTED_VALUE"""),"General Challenges and Recommendations")</f>
        <v>General Challenges and Recommendations</v>
      </c>
      <c r="F153" s="2" t="str">
        <f>IFERROR(__xludf.DUMMYFUNCTION("""COMPUTED_VALUE"""),"challenge")</f>
        <v>challenge</v>
      </c>
      <c r="G153" s="3" t="str">
        <f>IFERROR(__xludf.DUMMYFUNCTION("""COMPUTED_VALUE"""),"the point is how do we adapt DevOps in concept in a way where we, we are still take keeping in mind the theoretical foundation, but where make it making it interesting from an industry or practical perspective.")</f>
        <v>the point is how do we adapt DevOps in concept in a way where we, we are still take keeping in mind the theoretical foundation, but where make it making it interesting from an industry or practical perspective.</v>
      </c>
      <c r="H153" s="3" t="str">
        <f>IFERROR(__xludf.DUMMYFUNCTION("""COMPUTED_VALUE"""),"It's challenging to teach DevOps concepts that have theoretical foundations and make them interesting from the industry perspective.")</f>
        <v>It's challenging to teach DevOps concepts that have theoretical foundations and make them interesting from the industry perspective.</v>
      </c>
      <c r="I153" s="2" t="s">
        <v>3064</v>
      </c>
    </row>
    <row r="154">
      <c r="A154" s="50" t="s">
        <v>3065</v>
      </c>
      <c r="B154" s="2">
        <f>IFERROR(__xludf.DUMMYFUNCTION("""COMPUTED_VALUE"""),11.0)</f>
        <v>11</v>
      </c>
      <c r="C154" s="2">
        <f>IFERROR(__xludf.DUMMYFUNCTION("""COMPUTED_VALUE"""),6.0)</f>
        <v>6</v>
      </c>
      <c r="D154" s="2" t="str">
        <f>IFERROR(__xludf.DUMMYFUNCTION("""COMPUTED_VALUE"""),"R1 / R2")</f>
        <v>R1 / R2</v>
      </c>
      <c r="E154" s="2" t="str">
        <f>IFERROR(__xludf.DUMMYFUNCTION("""COMPUTED_VALUE"""),"General Challenges and Recommendations")</f>
        <v>General Challenges and Recommendations</v>
      </c>
      <c r="F154" s="2" t="str">
        <f>IFERROR(__xludf.DUMMYFUNCTION("""COMPUTED_VALUE"""),"challenge")</f>
        <v>challenge</v>
      </c>
      <c r="G154" s="3" t="str">
        <f>IFERROR(__xludf.DUMMYFUNCTION("""COMPUTED_VALUE""")," what we sit and do, but, uh, so from the lab perspective, that's interesting, but on the teaching side, as I said, like, uh, having limited material, make the teaching a little bit more difficult.")</f>
        <v> what we sit and do, but, uh, so from the lab perspective, that's interesting, but on the teaching side, as I said, like, uh, having limited material, make the teaching a little bit more difficult.</v>
      </c>
      <c r="H154" s="3" t="str">
        <f>IFERROR(__xludf.DUMMYFUNCTION("""COMPUTED_VALUE"""),"There's limited material to teach.")</f>
        <v>There's limited material to teach.</v>
      </c>
      <c r="I154" s="2" t="s">
        <v>3066</v>
      </c>
    </row>
    <row r="155">
      <c r="A155" s="50" t="s">
        <v>3067</v>
      </c>
      <c r="B155" s="2">
        <f>IFERROR(__xludf.DUMMYFUNCTION("""COMPUTED_VALUE"""),11.0)</f>
        <v>11</v>
      </c>
      <c r="C155" s="2">
        <f>IFERROR(__xludf.DUMMYFUNCTION("""COMPUTED_VALUE"""),8.0)</f>
        <v>8</v>
      </c>
      <c r="D155" s="2" t="str">
        <f>IFERROR(__xludf.DUMMYFUNCTION("""COMPUTED_VALUE"""),"R1 / R3")</f>
        <v>R1 / R3</v>
      </c>
      <c r="E155" s="2" t="str">
        <f>IFERROR(__xludf.DUMMYFUNCTION("""COMPUTED_VALUE"""),"Environment Setup")</f>
        <v>Environment Setup</v>
      </c>
      <c r="F155" s="2" t="str">
        <f>IFERROR(__xludf.DUMMYFUNCTION("""COMPUTED_VALUE"""),"challenge")</f>
        <v>challenge</v>
      </c>
      <c r="G155" s="3" t="str">
        <f>IFERROR(__xludf.DUMMYFUNCTION("""COMPUTED_VALUE""")," the challenge sometimes is finding a good open source application, which is not too big also because you don't want the project to be too big. You don't want it to be too small, but you don't want too big. So, so finding something in between, which can b"&amp;"e used. And, and, uh, so ")</f>
        <v> the challenge sometimes is finding a good open source application, which is not too big also because you don't want the project to be too big. You don't want it to be too small, but you don't want too big. So, so finding something in between, which can be used. And, and, uh, so </v>
      </c>
      <c r="H155" s="3" t="str">
        <f>IFERROR(__xludf.DUMMYFUNCTION("""COMPUTED_VALUE"""),"It is difficult to find the right sized open source project to use. It is should be not too small and not too bit.")</f>
        <v>It is difficult to find the right sized open source project to use. It is should be not too small and not too bit.</v>
      </c>
      <c r="I155" s="2" t="s">
        <v>3068</v>
      </c>
    </row>
    <row r="156">
      <c r="A156" s="50" t="s">
        <v>3069</v>
      </c>
      <c r="B156" s="2">
        <f>IFERROR(__xludf.DUMMYFUNCTION("""COMPUTED_VALUE"""),11.0)</f>
        <v>11</v>
      </c>
      <c r="C156" s="2">
        <f>IFERROR(__xludf.DUMMYFUNCTION("""COMPUTED_VALUE"""),9.0)</f>
        <v>9</v>
      </c>
      <c r="D156" s="2" t="str">
        <f>IFERROR(__xludf.DUMMYFUNCTION("""COMPUTED_VALUE"""),"R1 / R3")</f>
        <v>R1 / R3</v>
      </c>
      <c r="E156" s="2" t="str">
        <f>IFERROR(__xludf.DUMMYFUNCTION("""COMPUTED_VALUE"""),"Environment Setup")</f>
        <v>Environment Setup</v>
      </c>
      <c r="F156" s="2" t="str">
        <f>IFERROR(__xludf.DUMMYFUNCTION("""COMPUTED_VALUE"""),"challenge")</f>
        <v>challenge</v>
      </c>
      <c r="G156" s="3" t="str">
        <f>IFERROR(__xludf.DUMMYFUNCTION("""COMPUTED_VALUE"""),"It can be also challenging for the, if you have the lab instructor with handling all tools.")</f>
        <v>It can be also challenging for the, if you have the lab instructor with handling all tools.</v>
      </c>
      <c r="H156" s="3" t="str">
        <f>IFERROR(__xludf.DUMMYFUNCTION("""COMPUTED_VALUE"""),"The lab instructor should handle many tools.")</f>
        <v>The lab instructor should handle many tools.</v>
      </c>
      <c r="I156" s="2" t="s">
        <v>2610</v>
      </c>
    </row>
    <row r="157">
      <c r="A157" s="50" t="s">
        <v>3070</v>
      </c>
      <c r="B157" s="2">
        <f>IFERROR(__xludf.DUMMYFUNCTION("""COMPUTED_VALUE"""),11.0)</f>
        <v>11</v>
      </c>
      <c r="C157" s="2">
        <f>IFERROR(__xludf.DUMMYFUNCTION("""COMPUTED_VALUE"""),10.0)</f>
        <v>10</v>
      </c>
      <c r="D157" s="2" t="str">
        <f>IFERROR(__xludf.DUMMYFUNCTION("""COMPUTED_VALUE"""),"R1 / R3")</f>
        <v>R1 / R3</v>
      </c>
      <c r="E157" s="2" t="str">
        <f>IFERROR(__xludf.DUMMYFUNCTION("""COMPUTED_VALUE"""),"Tool / Technology")</f>
        <v>Tool / Technology</v>
      </c>
      <c r="F157" s="2" t="str">
        <f>IFERROR(__xludf.DUMMYFUNCTION("""COMPUTED_VALUE"""),"challenge")</f>
        <v>challenge</v>
      </c>
      <c r="G157" s="3" t="str">
        <f>IFERROR(__xludf.DUMMYFUNCTION("""COMPUTED_VALUE"""),"There there's a big focus on tools.")</f>
        <v>There there's a big focus on tools.</v>
      </c>
      <c r="H157" s="3" t="str">
        <f>IFERROR(__xludf.DUMMYFUNCTION("""COMPUTED_VALUE"""),"So many people only focus on the tools side from DevOps")</f>
        <v>So many people only focus on the tools side from DevOps</v>
      </c>
      <c r="I157" s="2" t="s">
        <v>3071</v>
      </c>
    </row>
    <row r="158">
      <c r="A158" s="50" t="s">
        <v>3072</v>
      </c>
      <c r="B158" s="2">
        <f>IFERROR(__xludf.DUMMYFUNCTION("""COMPUTED_VALUE"""),11.0)</f>
        <v>11</v>
      </c>
      <c r="C158" s="2">
        <f>IFERROR(__xludf.DUMMYFUNCTION("""COMPUTED_VALUE"""),12.0)</f>
        <v>12</v>
      </c>
      <c r="D158" s="2" t="str">
        <f>IFERROR(__xludf.DUMMYFUNCTION("""COMPUTED_VALUE"""),"R2 / R3")</f>
        <v>R2 / R3</v>
      </c>
      <c r="E158" s="2" t="str">
        <f>IFERROR(__xludf.DUMMYFUNCTION("""COMPUTED_VALUE"""),"DevOps Concepts")</f>
        <v>DevOps Concepts</v>
      </c>
      <c r="F158" s="2" t="str">
        <f>IFERROR(__xludf.DUMMYFUNCTION("""COMPUTED_VALUE"""),"challenge")</f>
        <v>challenge</v>
      </c>
      <c r="G158" s="3" t="str">
        <f>IFERROR(__xludf.DUMMYFUNCTION("""COMPUTED_VALUE"""),"I introduced the concept of them speaking about continuous integration, continuous, and delivery and continuous deployment. But, uh, in, in practice doing the remaining stage in the lab is very challenging because we don't have enough time because it's th"&amp;"ree months.")</f>
        <v>I introduced the concept of them speaking about continuous integration, continuous, and delivery and continuous deployment. But, uh, in, in practice doing the remaining stage in the lab is very challenging because we don't have enough time because it's three months.</v>
      </c>
      <c r="H158" s="3" t="str">
        <f>IFERROR(__xludf.DUMMYFUNCTION("""COMPUTED_VALUE"""),"Labs of continuous integration and continous delivery are challeging because there is not enough time in three months.")</f>
        <v>Labs of continuous integration and continous delivery are challeging because there is not enough time in three months.</v>
      </c>
      <c r="I158" s="2" t="s">
        <v>1733</v>
      </c>
    </row>
    <row r="159">
      <c r="A159" s="50" t="s">
        <v>3073</v>
      </c>
      <c r="B159" s="2">
        <f>IFERROR(__xludf.DUMMYFUNCTION("""COMPUTED_VALUE"""),11.0)</f>
        <v>11</v>
      </c>
      <c r="C159" s="2">
        <f>IFERROR(__xludf.DUMMYFUNCTION("""COMPUTED_VALUE"""),12.0)</f>
        <v>12</v>
      </c>
      <c r="D159" s="2" t="str">
        <f>IFERROR(__xludf.DUMMYFUNCTION("""COMPUTED_VALUE"""),"R2 / R3")</f>
        <v>R2 / R3</v>
      </c>
      <c r="E159" s="2" t="str">
        <f>IFERROR(__xludf.DUMMYFUNCTION("""COMPUTED_VALUE"""),"DevOps Concepts")</f>
        <v>DevOps Concepts</v>
      </c>
      <c r="F159" s="2" t="str">
        <f>IFERROR(__xludf.DUMMYFUNCTION("""COMPUTED_VALUE"""),"challenge")</f>
        <v>challenge</v>
      </c>
      <c r="G159" s="3" t="str">
        <f>IFERROR(__xludf.DUMMYFUNCTION("""COMPUTED_VALUE"""),"And as I said, we, students are doing other things. So this means we are limited in what we can ask them.")</f>
        <v>And as I said, we, students are doing other things. So this means we are limited in what we can ask them.</v>
      </c>
      <c r="H159" s="3" t="str">
        <f>IFERROR(__xludf.DUMMYFUNCTION("""COMPUTED_VALUE"""),"There is a limitation of what is appropriate to ask the students because they are doing a lot of other activities.")</f>
        <v>There is a limitation of what is appropriate to ask the students because they are doing a lot of other activities.</v>
      </c>
      <c r="I159" s="2" t="s">
        <v>2619</v>
      </c>
    </row>
    <row r="160">
      <c r="A160" s="50" t="s">
        <v>3074</v>
      </c>
      <c r="B160" s="2">
        <f>IFERROR(__xludf.DUMMYFUNCTION("""COMPUTED_VALUE"""),11.0)</f>
        <v>11</v>
      </c>
      <c r="C160" s="2">
        <f>IFERROR(__xludf.DUMMYFUNCTION("""COMPUTED_VALUE"""),13.0)</f>
        <v>13</v>
      </c>
      <c r="D160" s="2" t="str">
        <f>IFERROR(__xludf.DUMMYFUNCTION("""COMPUTED_VALUE"""),"R1 / R3")</f>
        <v>R1 / R3</v>
      </c>
      <c r="E160" s="2" t="str">
        <f>IFERROR(__xludf.DUMMYFUNCTION("""COMPUTED_VALUE"""),"Class Preparation")</f>
        <v>Class Preparation</v>
      </c>
      <c r="F160" s="2" t="str">
        <f>IFERROR(__xludf.DUMMYFUNCTION("""COMPUTED_VALUE"""),"challenge")</f>
        <v>challenge</v>
      </c>
      <c r="G160" s="3" t="str">
        <f>IFERROR(__xludf.DUMMYFUNCTION("""COMPUTED_VALUE"""),"the challenge for us is getting an application, which is interesting [...] you know, like they can use. ")</f>
        <v>the challenge for us is getting an application, which is interesting [...] you know, like they can use. </v>
      </c>
      <c r="H160" s="3" t="str">
        <f>IFERROR(__xludf.DUMMYFUNCTION("""COMPUTED_VALUE"""),"It is difficult to find an interesting sample application that students use.")</f>
        <v>It is difficult to find an interesting sample application that students use.</v>
      </c>
      <c r="I160" s="2" t="s">
        <v>3075</v>
      </c>
    </row>
    <row r="161">
      <c r="A161" s="50" t="s">
        <v>3076</v>
      </c>
      <c r="B161" s="2">
        <f>IFERROR(__xludf.DUMMYFUNCTION("""COMPUTED_VALUE"""),11.0)</f>
        <v>11</v>
      </c>
      <c r="C161" s="2">
        <f>IFERROR(__xludf.DUMMYFUNCTION("""COMPUTED_VALUE"""),14.0)</f>
        <v>14</v>
      </c>
      <c r="D161" s="2" t="str">
        <f>IFERROR(__xludf.DUMMYFUNCTION("""COMPUTED_VALUE"""),"R1 / R3")</f>
        <v>R1 / R3</v>
      </c>
      <c r="E161" s="2" t="str">
        <f>IFERROR(__xludf.DUMMYFUNCTION("""COMPUTED_VALUE"""),"Class Preparation")</f>
        <v>Class Preparation</v>
      </c>
      <c r="F161" s="2" t="str">
        <f>IFERROR(__xludf.DUMMYFUNCTION("""COMPUTED_VALUE"""),"challenge")</f>
        <v>challenge</v>
      </c>
      <c r="G161" s="3" t="str">
        <f>IFERROR(__xludf.DUMMYFUNCTION("""COMPUTED_VALUE"""),"That's one of the challenge that I find in preparing proper courses, finding and implementing an application, creating some issues in it, some bugs in it.")</f>
        <v>That's one of the challenge that I find in preparing proper courses, finding and implementing an application, creating some issues in it, some bugs in it.</v>
      </c>
      <c r="H161" s="3" t="str">
        <f>IFERROR(__xludf.DUMMYFUNCTION("""COMPUTED_VALUE"""),"It is laborious to prepare the exercise that the students will work.")</f>
        <v>It is laborious to prepare the exercise that the students will work.</v>
      </c>
      <c r="I161" s="2" t="s">
        <v>727</v>
      </c>
    </row>
    <row r="162">
      <c r="A162" s="50" t="s">
        <v>3077</v>
      </c>
      <c r="B162" s="2">
        <f>IFERROR(__xludf.DUMMYFUNCTION("""COMPUTED_VALUE"""),11.0)</f>
        <v>11</v>
      </c>
      <c r="C162" s="2">
        <f>IFERROR(__xludf.DUMMYFUNCTION("""COMPUTED_VALUE"""),19.0)</f>
        <v>19</v>
      </c>
      <c r="D162" s="2" t="str">
        <f>IFERROR(__xludf.DUMMYFUNCTION("""COMPUTED_VALUE"""),"R1 / R3")</f>
        <v>R1 / R3</v>
      </c>
      <c r="E162" s="2" t="str">
        <f>IFERROR(__xludf.DUMMYFUNCTION("""COMPUTED_VALUE"""),"Curriculum")</f>
        <v>Curriculum</v>
      </c>
      <c r="F162" s="2" t="str">
        <f>IFERROR(__xludf.DUMMYFUNCTION("""COMPUTED_VALUE"""),"challenge")</f>
        <v>challenge</v>
      </c>
      <c r="G162" s="3" t="str">
        <f>IFERROR(__xludf.DUMMYFUNCTION("""COMPUTED_VALUE"""),"I use a couple of books, um, and, uh, as I said, to to be able to own, um, they cover many different topics. And so I tried to use one over, two picks in it. [...] I still think that, uh, the idea scenario would have been able, will have been, to be able "&amp;"to do a situation where I can take several topics in the book and then cover them from the beginning to them. But, uh, I haven't been able to find that possible yet. ")</f>
        <v>I use a couple of books, um, and, uh, as I said, to to be able to own, um, they cover many different topics. And so I tried to use one over, two picks in it. [...] I still think that, uh, the idea scenario would have been able, will have been, to be able to do a situation where I can take several topics in the book and then cover them from the beginning to them. But, uh, I haven't been able to find that possible yet. </v>
      </c>
      <c r="H162" s="3" t="str">
        <f>IFERROR(__xludf.DUMMYFUNCTION("""COMPUTED_VALUE"""),"It is necessary to use multiple books because they do not cover all concepts.")</f>
        <v>It is necessary to use multiple books because they do not cover all concepts.</v>
      </c>
      <c r="I162" s="2" t="s">
        <v>733</v>
      </c>
    </row>
    <row r="163">
      <c r="A163" s="50" t="s">
        <v>3078</v>
      </c>
      <c r="B163" s="2">
        <f>IFERROR(__xludf.DUMMYFUNCTION("""COMPUTED_VALUE"""),11.0)</f>
        <v>11</v>
      </c>
      <c r="C163" s="2">
        <f>IFERROR(__xludf.DUMMYFUNCTION("""COMPUTED_VALUE"""),19.0)</f>
        <v>19</v>
      </c>
      <c r="D163" s="2" t="str">
        <f>IFERROR(__xludf.DUMMYFUNCTION("""COMPUTED_VALUE"""),"R1 / R3")</f>
        <v>R1 / R3</v>
      </c>
      <c r="E163" s="2" t="str">
        <f>IFERROR(__xludf.DUMMYFUNCTION("""COMPUTED_VALUE"""),"Curriculum")</f>
        <v>Curriculum</v>
      </c>
      <c r="F163" s="2" t="str">
        <f>IFERROR(__xludf.DUMMYFUNCTION("""COMPUTED_VALUE"""),"challenge")</f>
        <v>challenge</v>
      </c>
      <c r="G163" s="3" t="str">
        <f>IFERROR(__xludf.DUMMYFUNCTION("""COMPUTED_VALUE"""),"your books are written mostly with the different projects in mind. Like they are thinking about people working in the company, but not thinking about students who are learning. And this makes it very difficult to design a DevOps curriculum where you cover"&amp;" a hundred percent DevOps in one course.")</f>
        <v>your books are written mostly with the different projects in mind. Like they are thinking about people working in the company, but not thinking about students who are learning. And this makes it very difficult to design a DevOps curriculum where you cover a hundred percent DevOps in one course.</v>
      </c>
      <c r="H163" s="3" t="str">
        <f>IFERROR(__xludf.DUMMYFUNCTION("""COMPUTED_VALUE"""),"Books are designed to company professionals and not about to students who are learning.")</f>
        <v>Books are designed to company professionals and not about to students who are learning.</v>
      </c>
      <c r="I163" s="2" t="s">
        <v>3079</v>
      </c>
    </row>
    <row r="164">
      <c r="A164" s="50" t="s">
        <v>3080</v>
      </c>
      <c r="B164" s="2">
        <f>IFERROR(__xludf.DUMMYFUNCTION("""COMPUTED_VALUE"""),11.0)</f>
        <v>11</v>
      </c>
      <c r="C164" s="2">
        <f>IFERROR(__xludf.DUMMYFUNCTION("""COMPUTED_VALUE"""),20.0)</f>
        <v>20</v>
      </c>
      <c r="D164" s="2" t="str">
        <f>IFERROR(__xludf.DUMMYFUNCTION("""COMPUTED_VALUE"""),"R1 / R3")</f>
        <v>R1 / R3</v>
      </c>
      <c r="E164" s="2" t="str">
        <f>IFERROR(__xludf.DUMMYFUNCTION("""COMPUTED_VALUE"""),"Other Challenge and Recommendation")</f>
        <v>Other Challenge and Recommendation</v>
      </c>
      <c r="F164" s="2" t="str">
        <f>IFERROR(__xludf.DUMMYFUNCTION("""COMPUTED_VALUE"""),"challenge")</f>
        <v>challenge</v>
      </c>
      <c r="G164" s="3" t="str">
        <f>IFERROR(__xludf.DUMMYFUNCTION("""COMPUTED_VALUE"""),"for us as educators, we need to find a way where we can make it interesting.")</f>
        <v>for us as educators, we need to find a way where we can make it interesting.</v>
      </c>
      <c r="H164" s="3" t="str">
        <f>IFERROR(__xludf.DUMMYFUNCTION("""COMPUTED_VALUE"""),"Make a DevOps course attractive to the students.")</f>
        <v>Make a DevOps course attractive to the students.</v>
      </c>
      <c r="I164" s="2" t="s">
        <v>3081</v>
      </c>
    </row>
    <row r="165">
      <c r="A165" s="50" t="s">
        <v>3082</v>
      </c>
      <c r="B165" s="2">
        <f>IFERROR(__xludf.DUMMYFUNCTION("""COMPUTED_VALUE"""),12.0)</f>
        <v>12</v>
      </c>
      <c r="C165" s="2">
        <f>IFERROR(__xludf.DUMMYFUNCTION("""COMPUTED_VALUE"""),1.0)</f>
        <v>1</v>
      </c>
      <c r="D165" s="2" t="str">
        <f>IFERROR(__xludf.DUMMYFUNCTION("""COMPUTED_VALUE"""),"R1 / R2")</f>
        <v>R1 / R2</v>
      </c>
      <c r="E165" s="2" t="str">
        <f>IFERROR(__xludf.DUMMYFUNCTION("""COMPUTED_VALUE"""),"Educator Experience")</f>
        <v>Educator Experience</v>
      </c>
      <c r="F165" s="2" t="str">
        <f>IFERROR(__xludf.DUMMYFUNCTION("""COMPUTED_VALUE"""),"challenge")</f>
        <v>challenge</v>
      </c>
      <c r="G165" s="3" t="str">
        <f>IFERROR(__xludf.DUMMYFUNCTION("""COMPUTED_VALUE"""),"I would say at the end of the fall, or maybe at the beginning of 2019, we started to plan this course. And for the longest time I was really questioning myself. Like, what do you teach in a DevOps course?")</f>
        <v>I would say at the end of the fall, or maybe at the beginning of 2019, we started to plan this course. And for the longest time I was really questioning myself. Like, what do you teach in a DevOps course?</v>
      </c>
      <c r="H165" s="3" t="str">
        <f>IFERROR(__xludf.DUMMYFUNCTION("""COMPUTED_VALUE"""),"It's difficult to decide what will be taught in a DevOps course")</f>
        <v>It's difficult to decide what will be taught in a DevOps course</v>
      </c>
      <c r="I165" s="2" t="s">
        <v>737</v>
      </c>
    </row>
    <row r="166">
      <c r="A166" s="50" t="s">
        <v>3083</v>
      </c>
      <c r="B166" s="2">
        <f>IFERROR(__xludf.DUMMYFUNCTION("""COMPUTED_VALUE"""),12.0)</f>
        <v>12</v>
      </c>
      <c r="C166" s="2">
        <f>IFERROR(__xludf.DUMMYFUNCTION("""COMPUTED_VALUE"""),3.0)</f>
        <v>3</v>
      </c>
      <c r="D166" s="2" t="str">
        <f>IFERROR(__xludf.DUMMYFUNCTION("""COMPUTED_VALUE"""),"R1 / R3")</f>
        <v>R1 / R3</v>
      </c>
      <c r="E166" s="2" t="str">
        <f>IFERROR(__xludf.DUMMYFUNCTION("""COMPUTED_VALUE"""),"Educator Experience")</f>
        <v>Educator Experience</v>
      </c>
      <c r="F166" s="2" t="str">
        <f>IFERROR(__xludf.DUMMYFUNCTION("""COMPUTED_VALUE"""),"challenge")</f>
        <v>challenge</v>
      </c>
      <c r="G166" s="3" t="str">
        <f>IFERROR(__xludf.DUMMYFUNCTION("""COMPUTED_VALUE"""),"we had to work to do on the labs. ...  the assistant I had two for the labs was too busy with too many things.")</f>
        <v>we had to work to do on the labs. ...  the assistant I had two for the labs was too busy with too many things.</v>
      </c>
      <c r="H166" s="3" t="str">
        <f>IFERROR(__xludf.DUMMYFUNCTION("""COMPUTED_VALUE"""),"Lots of work to setup the labs even if you have teacher assistants.")</f>
        <v>Lots of work to setup the labs even if you have teacher assistants.</v>
      </c>
      <c r="I166" s="2" t="s">
        <v>3084</v>
      </c>
    </row>
    <row r="167">
      <c r="A167" s="50" t="s">
        <v>3085</v>
      </c>
      <c r="B167" s="2">
        <f>IFERROR(__xludf.DUMMYFUNCTION("""COMPUTED_VALUE"""),12.0)</f>
        <v>12</v>
      </c>
      <c r="C167" s="2">
        <f>IFERROR(__xludf.DUMMYFUNCTION("""COMPUTED_VALUE"""),7.0)</f>
        <v>7</v>
      </c>
      <c r="D167" s="2" t="str">
        <f>IFERROR(__xludf.DUMMYFUNCTION("""COMPUTED_VALUE"""),"R2 / R3")</f>
        <v>R2 / R3</v>
      </c>
      <c r="E167" s="2" t="str">
        <f>IFERROR(__xludf.DUMMYFUNCTION("""COMPUTED_VALUE"""),"General Challenges and Recommendations")</f>
        <v>General Challenges and Recommendations</v>
      </c>
      <c r="F167" s="2" t="str">
        <f>IFERROR(__xludf.DUMMYFUNCTION("""COMPUTED_VALUE"""),"challenge")</f>
        <v>challenge</v>
      </c>
      <c r="G167" s="3" t="str">
        <f>IFERROR(__xludf.DUMMYFUNCTION("""COMPUTED_VALUE"""),"the challenge is, in my opinion, is, is to, to strike this balance between, between, um, concreteness, like work with technologies, because essentially, uh, DevOps is yes, a philosophy. ")</f>
        <v>the challenge is, in my opinion, is, is to, to strike this balance between, between, um, concreteness, like work with technologies, because essentially, uh, DevOps is yes, a philosophy. </v>
      </c>
      <c r="H167" s="3" t="str">
        <f>IFERROR(__xludf.DUMMYFUNCTION("""COMPUTED_VALUE"""),"It is difficult to balance the concreteness (technologies) and the philosophy (concepts) of DevOps.")</f>
        <v>It is difficult to balance the concreteness (technologies) and the philosophy (concepts) of DevOps.</v>
      </c>
      <c r="I167" s="2" t="s">
        <v>3086</v>
      </c>
    </row>
    <row r="168">
      <c r="A168" s="50" t="s">
        <v>3087</v>
      </c>
      <c r="B168" s="2">
        <f>IFERROR(__xludf.DUMMYFUNCTION("""COMPUTED_VALUE"""),12.0)</f>
        <v>12</v>
      </c>
      <c r="C168" s="2">
        <f>IFERROR(__xludf.DUMMYFUNCTION("""COMPUTED_VALUE"""),7.0)</f>
        <v>7</v>
      </c>
      <c r="D168" s="2" t="str">
        <f>IFERROR(__xludf.DUMMYFUNCTION("""COMPUTED_VALUE"""),"R2 / R3")</f>
        <v>R2 / R3</v>
      </c>
      <c r="E168" s="2" t="str">
        <f>IFERROR(__xludf.DUMMYFUNCTION("""COMPUTED_VALUE"""),"General Challenges and Recommendations")</f>
        <v>General Challenges and Recommendations</v>
      </c>
      <c r="F168" s="2" t="str">
        <f>IFERROR(__xludf.DUMMYFUNCTION("""COMPUTED_VALUE"""),"challenge")</f>
        <v>challenge</v>
      </c>
      <c r="G168" s="3" t="str">
        <f>IFERROR(__xludf.DUMMYFUNCTION("""COMPUTED_VALUE"""),"The, the overall context will change the process they use will have to change, to adapt, to become better, to, to stay at the top too, you know, they have to, so they have to recognize first that technologies will change, but the foundation, the fundament"&amp;"als will remain,")</f>
        <v>The, the overall context will change the process they use will have to change, to adapt, to become better, to, to stay at the top too, you know, they have to, so they have to recognize first that technologies will change, but the foundation, the fundamentals will remain,</v>
      </c>
      <c r="H168" s="3" t="str">
        <f>IFERROR(__xludf.DUMMYFUNCTION("""COMPUTED_VALUE"""),"It's hard to make clear to students and make them understang the fact that technologies will change with time, but the fundamentals will remain.")</f>
        <v>It's hard to make clear to students and make them understang the fact that technologies will change with time, but the fundamentals will remain.</v>
      </c>
      <c r="I168" s="2" t="s">
        <v>1179</v>
      </c>
    </row>
    <row r="169">
      <c r="A169" s="50" t="s">
        <v>3088</v>
      </c>
      <c r="B169" s="2">
        <f>IFERROR(__xludf.DUMMYFUNCTION("""COMPUTED_VALUE"""),12.0)</f>
        <v>12</v>
      </c>
      <c r="C169" s="2">
        <f>IFERROR(__xludf.DUMMYFUNCTION("""COMPUTED_VALUE"""),8.0)</f>
        <v>8</v>
      </c>
      <c r="D169" s="2" t="str">
        <f>IFERROR(__xludf.DUMMYFUNCTION("""COMPUTED_VALUE"""),"R1 / R3")</f>
        <v>R1 / R3</v>
      </c>
      <c r="E169" s="2" t="str">
        <f>IFERROR(__xludf.DUMMYFUNCTION("""COMPUTED_VALUE"""),"General Challenges and Recommendations")</f>
        <v>General Challenges and Recommendations</v>
      </c>
      <c r="F169" s="2" t="str">
        <f>IFERROR(__xludf.DUMMYFUNCTION("""COMPUTED_VALUE"""),"challenge")</f>
        <v>challenge</v>
      </c>
      <c r="G169" s="3" t="str">
        <f>IFERROR(__xludf.DUMMYFUNCTION("""COMPUTED_VALUE"""),"the main challenge remain the able to, to, to teach the fundamentals. I think that this type, of course almost requires some type of industrial experience, because if you've not been in contact with the industry, there are so many things that are, um, mor"&amp;"e difficult to, to, to really understand.")</f>
        <v>the main challenge remain the able to, to, to teach the fundamentals. I think that this type, of course almost requires some type of industrial experience, because if you've not been in contact with the industry, there are so many things that are, um, more difficult to, to, to really understand.</v>
      </c>
      <c r="H169" s="3" t="str">
        <f>IFERROR(__xludf.DUMMYFUNCTION("""COMPUTED_VALUE"""),"It is difficult to teach DevOps concepts without industry experience.")</f>
        <v>It is difficult to teach DevOps concepts without industry experience.</v>
      </c>
      <c r="I169" s="2" t="s">
        <v>3089</v>
      </c>
    </row>
    <row r="170">
      <c r="A170" s="50" t="s">
        <v>3090</v>
      </c>
      <c r="B170" s="2">
        <f>IFERROR(__xludf.DUMMYFUNCTION("""COMPUTED_VALUE"""),12.0)</f>
        <v>12</v>
      </c>
      <c r="C170" s="2">
        <f>IFERROR(__xludf.DUMMYFUNCTION("""COMPUTED_VALUE"""),10.0)</f>
        <v>10</v>
      </c>
      <c r="D170" s="2" t="str">
        <f>IFERROR(__xludf.DUMMYFUNCTION("""COMPUTED_VALUE"""),"R1 / R3")</f>
        <v>R1 / R3</v>
      </c>
      <c r="E170" s="2" t="str">
        <f>IFERROR(__xludf.DUMMYFUNCTION("""COMPUTED_VALUE"""),"General Challenges and Recommendations")</f>
        <v>General Challenges and Recommendations</v>
      </c>
      <c r="F170" s="2" t="str">
        <f>IFERROR(__xludf.DUMMYFUNCTION("""COMPUTED_VALUE"""),"challenge")</f>
        <v>challenge</v>
      </c>
      <c r="G170" s="3" t="str">
        <f>IFERROR(__xludf.DUMMYFUNCTION("""COMPUTED_VALUE"""),"I actually strongly encourage students to read it, but I know that they don't")</f>
        <v>I actually strongly encourage students to read it, but I know that they don't</v>
      </c>
      <c r="H170" s="3" t="str">
        <f>IFERROR(__xludf.DUMMYFUNCTION("""COMPUTED_VALUE"""),"The students don't read the suggested book even if you strongly encourage them.")</f>
        <v>The students don't read the suggested book even if you strongly encourage them.</v>
      </c>
      <c r="I170" s="2" t="s">
        <v>759</v>
      </c>
    </row>
    <row r="171">
      <c r="A171" s="50" t="s">
        <v>3091</v>
      </c>
      <c r="B171" s="2">
        <f>IFERROR(__xludf.DUMMYFUNCTION("""COMPUTED_VALUE"""),12.0)</f>
        <v>12</v>
      </c>
      <c r="C171" s="2">
        <f>IFERROR(__xludf.DUMMYFUNCTION("""COMPUTED_VALUE"""),14.0)</f>
        <v>14</v>
      </c>
      <c r="D171" s="2" t="str">
        <f>IFERROR(__xludf.DUMMYFUNCTION("""COMPUTED_VALUE"""),"R1 / R3")</f>
        <v>R1 / R3</v>
      </c>
      <c r="E171" s="2" t="str">
        <f>IFERROR(__xludf.DUMMYFUNCTION("""COMPUTED_VALUE"""),"General Challenges and Recommendations")</f>
        <v>General Challenges and Recommendations</v>
      </c>
      <c r="F171" s="2" t="str">
        <f>IFERROR(__xludf.DUMMYFUNCTION("""COMPUTED_VALUE"""),"challenge")</f>
        <v>challenge</v>
      </c>
      <c r="G171" s="3" t="str">
        <f>IFERROR(__xludf.DUMMYFUNCTION("""COMPUTED_VALUE"""),"Now we're questioning ourselves. What else did we bring in? We may add some things about a bit of telemetry. So they have a bit of telemetry because they have lives, but we put some emphasis on it.")</f>
        <v>Now we're questioning ourselves. What else did we bring in? We may add some things about a bit of telemetry. So they have a bit of telemetry because they have lives, but we put some emphasis on it.</v>
      </c>
      <c r="H171" s="3" t="str">
        <f>IFERROR(__xludf.DUMMYFUNCTION("""COMPUTED_VALUE"""),"Hard to decide whether to teach telemetry or not.")</f>
        <v>Hard to decide whether to teach telemetry or not.</v>
      </c>
      <c r="I171" s="2" t="s">
        <v>771</v>
      </c>
    </row>
    <row r="172">
      <c r="A172" s="50" t="s">
        <v>3092</v>
      </c>
      <c r="B172" s="2">
        <f>IFERROR(__xludf.DUMMYFUNCTION("""COMPUTED_VALUE"""),12.0)</f>
        <v>12</v>
      </c>
      <c r="C172" s="2">
        <f>IFERROR(__xludf.DUMMYFUNCTION("""COMPUTED_VALUE"""),17.0)</f>
        <v>17</v>
      </c>
      <c r="D172" s="2" t="str">
        <f>IFERROR(__xludf.DUMMYFUNCTION("""COMPUTED_VALUE"""),"R2 / R3")</f>
        <v>R2 / R3</v>
      </c>
      <c r="E172" s="2" t="str">
        <f>IFERROR(__xludf.DUMMYFUNCTION("""COMPUTED_VALUE"""),"Environment Setup")</f>
        <v>Environment Setup</v>
      </c>
      <c r="F172" s="2" t="str">
        <f>IFERROR(__xludf.DUMMYFUNCTION("""COMPUTED_VALUE"""),"challenge")</f>
        <v>challenge</v>
      </c>
      <c r="G172" s="3" t="str">
        <f>IFERROR(__xludf.DUMMYFUNCTION("""COMPUTED_VALUE"""),"JIRA is quite difficult to use in industry context, um, just because of the license model then. So it's, it's too complex.")</f>
        <v>JIRA is quite difficult to use in industry context, um, just because of the license model then. So it's, it's too complex.</v>
      </c>
      <c r="H172" s="3" t="str">
        <f>IFERROR(__xludf.DUMMYFUNCTION("""COMPUTED_VALUE"""),"It's difficult to use Jira lifecycle management tool because of its licence model.")</f>
        <v>It's difficult to use Jira lifecycle management tool because of its licence model.</v>
      </c>
      <c r="I172" s="2" t="s">
        <v>1191</v>
      </c>
    </row>
    <row r="173">
      <c r="A173" s="50" t="s">
        <v>3093</v>
      </c>
      <c r="B173" s="2">
        <f>IFERROR(__xludf.DUMMYFUNCTION("""COMPUTED_VALUE"""),12.0)</f>
        <v>12</v>
      </c>
      <c r="C173" s="2">
        <f>IFERROR(__xludf.DUMMYFUNCTION("""COMPUTED_VALUE"""),17.0)</f>
        <v>17</v>
      </c>
      <c r="D173" s="2" t="str">
        <f>IFERROR(__xludf.DUMMYFUNCTION("""COMPUTED_VALUE"""),"R2 / R3")</f>
        <v>R2 / R3</v>
      </c>
      <c r="E173" s="2" t="str">
        <f>IFERROR(__xludf.DUMMYFUNCTION("""COMPUTED_VALUE"""),"Environment Setup")</f>
        <v>Environment Setup</v>
      </c>
      <c r="F173" s="2" t="str">
        <f>IFERROR(__xludf.DUMMYFUNCTION("""COMPUTED_VALUE"""),"challenge")</f>
        <v>challenge</v>
      </c>
      <c r="G173" s="3" t="str">
        <f>IFERROR(__xludf.DUMMYFUNCTION("""COMPUTED_VALUE"""),"So one of the challenge from an environment point of view is to get something that students can relate to ")</f>
        <v>So one of the challenge from an environment point of view is to get something that students can relate to </v>
      </c>
      <c r="H173" s="3" t="str">
        <f>IFERROR(__xludf.DUMMYFUNCTION("""COMPUTED_VALUE"""),"It's hard to find something students can relate to, from a environment point of view.")</f>
        <v>It's hard to find something students can relate to, from a environment point of view.</v>
      </c>
      <c r="I173" s="2" t="s">
        <v>3094</v>
      </c>
    </row>
    <row r="174">
      <c r="A174" s="50" t="s">
        <v>3095</v>
      </c>
      <c r="B174" s="2">
        <f>IFERROR(__xludf.DUMMYFUNCTION("""COMPUTED_VALUE"""),12.0)</f>
        <v>12</v>
      </c>
      <c r="C174" s="2">
        <f>IFERROR(__xludf.DUMMYFUNCTION("""COMPUTED_VALUE"""),28.0)</f>
        <v>28</v>
      </c>
      <c r="D174" s="2" t="str">
        <f>IFERROR(__xludf.DUMMYFUNCTION("""COMPUTED_VALUE"""),"R1 / R3")</f>
        <v>R1 / R3</v>
      </c>
      <c r="E174" s="2" t="str">
        <f>IFERROR(__xludf.DUMMYFUNCTION("""COMPUTED_VALUE"""),"Tool / Technology")</f>
        <v>Tool / Technology</v>
      </c>
      <c r="F174" s="2" t="str">
        <f>IFERROR(__xludf.DUMMYFUNCTION("""COMPUTED_VALUE"""),"challenge")</f>
        <v>challenge</v>
      </c>
      <c r="G174" s="3" t="str">
        <f>IFERROR(__xludf.DUMMYFUNCTION("""COMPUTED_VALUE"""),"to strike a balance. The students are of course, very keen about the products and telemetry about the product and, and, and, and building Docker containers. And, but what I want them to reflect, I mean, the whole goal of DevOps is to make the process effe"&amp;"ctive, very, very efficient.")</f>
        <v>to strike a balance. The students are of course, very keen about the products and telemetry about the product and, and, and, and building Docker containers. And, but what I want them to reflect, I mean, the whole goal of DevOps is to make the process effective, very, very efficient.</v>
      </c>
      <c r="H174" s="3" t="str">
        <f>IFERROR(__xludf.DUMMYFUNCTION("""COMPUTED_VALUE"""),"It is difficult to balance the usage of tools and making the DevOps process effective and efficient.")</f>
        <v>It is difficult to balance the usage of tools and making the DevOps process effective and efficient.</v>
      </c>
      <c r="I174" s="2" t="s">
        <v>3096</v>
      </c>
    </row>
    <row r="175">
      <c r="A175" s="50" t="s">
        <v>3097</v>
      </c>
      <c r="B175" s="2">
        <f>IFERROR(__xludf.DUMMYFUNCTION("""COMPUTED_VALUE"""),12.0)</f>
        <v>12</v>
      </c>
      <c r="C175" s="2">
        <f>IFERROR(__xludf.DUMMYFUNCTION("""COMPUTED_VALUE"""),34.0)</f>
        <v>34</v>
      </c>
      <c r="D175" s="2" t="str">
        <f>IFERROR(__xludf.DUMMYFUNCTION("""COMPUTED_VALUE"""),"R1 / R3")</f>
        <v>R1 / R3</v>
      </c>
      <c r="E175" s="2" t="str">
        <f>IFERROR(__xludf.DUMMYFUNCTION("""COMPUTED_VALUE"""),"Class Preparation")</f>
        <v>Class Preparation</v>
      </c>
      <c r="F175" s="2" t="str">
        <f>IFERROR(__xludf.DUMMYFUNCTION("""COMPUTED_VALUE"""),"challenge")</f>
        <v>challenge</v>
      </c>
      <c r="G175" s="3" t="str">
        <f>IFERROR(__xludf.DUMMYFUNCTION("""COMPUTED_VALUE"""),"I didn't find any course, really I was looking for courses in devops, like yes, there were courses that talk about kubernetes that these, yes. There are courses that talk about, uh, integrated testing. Yes. There are courses. We talk about AWS and cloud, "&amp;"but I didn't find any course on devops that I can two years ago that I'm almost like three years ago now when I started to work on it, um, use as a basis. Right. So the first semester was a nightmare. 
")</f>
        <v>I didn't find any course, really I was looking for courses in devops, like yes, there were courses that talk about kubernetes that these, yes. There are courses that talk about, uh, integrated testing. Yes. There are courses. We talk about AWS and cloud, but I didn't find any course on devops that I can two years ago that I'm almost like three years ago now when I started to work on it, um, use as a basis. Right. So the first semester was a nightmare. 
</v>
      </c>
      <c r="H175" s="3" t="str">
        <f>IFERROR(__xludf.DUMMYFUNCTION("""COMPUTED_VALUE"""),"It isn't easy to create a DevOps course without having another course as a reference.")</f>
        <v>It isn't easy to create a DevOps course without having another course as a reference.</v>
      </c>
      <c r="I175" s="2" t="s">
        <v>3098</v>
      </c>
    </row>
    <row r="176">
      <c r="A176" s="50" t="s">
        <v>3099</v>
      </c>
      <c r="B176" s="2">
        <f>IFERROR(__xludf.DUMMYFUNCTION("""COMPUTED_VALUE"""),12.0)</f>
        <v>12</v>
      </c>
      <c r="C176" s="2">
        <f>IFERROR(__xludf.DUMMYFUNCTION("""COMPUTED_VALUE"""),36.0)</f>
        <v>36</v>
      </c>
      <c r="D176" s="2" t="str">
        <f>IFERROR(__xludf.DUMMYFUNCTION("""COMPUTED_VALUE"""),"R1 / R2")</f>
        <v>R1 / R2</v>
      </c>
      <c r="E176" s="2" t="str">
        <f>IFERROR(__xludf.DUMMYFUNCTION("""COMPUTED_VALUE"""),"Class Preparation")</f>
        <v>Class Preparation</v>
      </c>
      <c r="F176" s="2" t="str">
        <f>IFERROR(__xludf.DUMMYFUNCTION("""COMPUTED_VALUE"""),"challenge")</f>
        <v>challenge</v>
      </c>
      <c r="G176" s="3" t="str">
        <f>IFERROR(__xludf.DUMMYFUNCTION("""COMPUTED_VALUE"""),"we hear from our industrial partners and from industry in general is there's this HUGE gap right? Between what the industry needs and what university provides.")</f>
        <v>we hear from our industrial partners and from industry in general is there's this HUGE gap right? Between what the industry needs and what university provides.</v>
      </c>
      <c r="H176" s="3" t="str">
        <f>IFERROR(__xludf.DUMMYFUNCTION("""COMPUTED_VALUE"""),"There is a lack between what the industry wants from students about DevOps and what the university teaches.")</f>
        <v>There is a lack between what the industry wants from students about DevOps and what the university teaches.</v>
      </c>
      <c r="I176" s="2" t="s">
        <v>3100</v>
      </c>
    </row>
    <row r="177">
      <c r="A177" s="50" t="s">
        <v>3101</v>
      </c>
      <c r="B177" s="2">
        <f>IFERROR(__xludf.DUMMYFUNCTION("""COMPUTED_VALUE"""),12.0)</f>
        <v>12</v>
      </c>
      <c r="C177" s="2">
        <f>IFERROR(__xludf.DUMMYFUNCTION("""COMPUTED_VALUE"""),36.0)</f>
        <v>36</v>
      </c>
      <c r="D177" s="2" t="str">
        <f>IFERROR(__xludf.DUMMYFUNCTION("""COMPUTED_VALUE"""),"R1 / R2")</f>
        <v>R1 / R2</v>
      </c>
      <c r="E177" s="2" t="str">
        <f>IFERROR(__xludf.DUMMYFUNCTION("""COMPUTED_VALUE"""),"Class Preparation")</f>
        <v>Class Preparation</v>
      </c>
      <c r="F177" s="2" t="str">
        <f>IFERROR(__xludf.DUMMYFUNCTION("""COMPUTED_VALUE"""),"challenge")</f>
        <v>challenge</v>
      </c>
      <c r="G177" s="3" t="str">
        <f>IFERROR(__xludf.DUMMYFUNCTION("""COMPUTED_VALUE"""),"in 2018, 2019, and yet no universities have a program in DevOps, no universities, essentially very few universities have a course in DevOps.")</f>
        <v>in 2018, 2019, and yet no universities have a program in DevOps, no universities, essentially very few universities have a course in DevOps.</v>
      </c>
      <c r="H177" s="3" t="str">
        <f>IFERROR(__xludf.DUMMYFUNCTION("""COMPUTED_VALUE"""),"Few universities have a DevOps course")</f>
        <v>Few universities have a DevOps course</v>
      </c>
      <c r="I177" s="2" t="s">
        <v>3102</v>
      </c>
    </row>
    <row r="178">
      <c r="A178" s="50" t="s">
        <v>3103</v>
      </c>
      <c r="B178" s="2">
        <f>IFERROR(__xludf.DUMMYFUNCTION("""COMPUTED_VALUE"""),12.0)</f>
        <v>12</v>
      </c>
      <c r="C178" s="2">
        <f>IFERROR(__xludf.DUMMYFUNCTION("""COMPUTED_VALUE"""),37.0)</f>
        <v>37</v>
      </c>
      <c r="D178" s="2" t="str">
        <f>IFERROR(__xludf.DUMMYFUNCTION("""COMPUTED_VALUE"""),"R2 / R3")</f>
        <v>R2 / R3</v>
      </c>
      <c r="E178" s="2" t="str">
        <f>IFERROR(__xludf.DUMMYFUNCTION("""COMPUTED_VALUE"""),"Class Preparation")</f>
        <v>Class Preparation</v>
      </c>
      <c r="F178" s="2" t="str">
        <f>IFERROR(__xludf.DUMMYFUNCTION("""COMPUTED_VALUE"""),"challenge")</f>
        <v>challenge</v>
      </c>
      <c r="G178" s="3" t="str">
        <f>IFERROR(__xludf.DUMMYFUNCTION("""COMPUTED_VALUE"""),"DevOps doesn't equal CI/CD and DevOps doesn't equal automate the testing.")</f>
        <v>DevOps doesn't equal CI/CD and DevOps doesn't equal automate the testing.</v>
      </c>
      <c r="H178" s="3" t="str">
        <f>IFERROR(__xludf.DUMMYFUNCTION("""COMPUTED_VALUE"""),"DevOps is not only CI/CD and automation.")</f>
        <v>DevOps is not only CI/CD and automation.</v>
      </c>
      <c r="I178" s="2" t="s">
        <v>1209</v>
      </c>
    </row>
    <row r="179">
      <c r="A179" s="50" t="s">
        <v>3104</v>
      </c>
      <c r="B179" s="2">
        <f>IFERROR(__xludf.DUMMYFUNCTION("""COMPUTED_VALUE"""),12.0)</f>
        <v>12</v>
      </c>
      <c r="C179" s="2">
        <f>IFERROR(__xludf.DUMMYFUNCTION("""COMPUTED_VALUE"""),39.0)</f>
        <v>39</v>
      </c>
      <c r="D179" s="2" t="str">
        <f>IFERROR(__xludf.DUMMYFUNCTION("""COMPUTED_VALUE"""),"R1 / R3")</f>
        <v>R1 / R3</v>
      </c>
      <c r="E179" s="2" t="str">
        <f>IFERROR(__xludf.DUMMYFUNCTION("""COMPUTED_VALUE"""),"Pedagogy")</f>
        <v>Pedagogy</v>
      </c>
      <c r="F179" s="2" t="str">
        <f>IFERROR(__xludf.DUMMYFUNCTION("""COMPUTED_VALUE"""),"challenge")</f>
        <v>challenge</v>
      </c>
      <c r="G179" s="3" t="str">
        <f>IFERROR(__xludf.DUMMYFUNCTION("""COMPUTED_VALUE"""),"you can make the lectures more interactive, but to make the lecture attractive students have to willing to interact. Right. Which is very difficult to do.")</f>
        <v>you can make the lectures more interactive, but to make the lecture attractive students have to willing to interact. Right. Which is very difficult to do.</v>
      </c>
      <c r="H179" s="3" t="str">
        <f>IFERROR(__xludf.DUMMYFUNCTION("""COMPUTED_VALUE"""),"Make the lectures attractive is difficult.")</f>
        <v>Make the lectures attractive is difficult.</v>
      </c>
      <c r="I179" s="2" t="s">
        <v>3105</v>
      </c>
    </row>
    <row r="180">
      <c r="A180" s="50" t="s">
        <v>3106</v>
      </c>
      <c r="B180" s="2">
        <f>IFERROR(__xludf.DUMMYFUNCTION("""COMPUTED_VALUE"""),12.0)</f>
        <v>12</v>
      </c>
      <c r="C180" s="2">
        <f>IFERROR(__xludf.DUMMYFUNCTION("""COMPUTED_VALUE"""),39.0)</f>
        <v>39</v>
      </c>
      <c r="D180" s="2" t="str">
        <f>IFERROR(__xludf.DUMMYFUNCTION("""COMPUTED_VALUE"""),"R1 / R3")</f>
        <v>R1 / R3</v>
      </c>
      <c r="E180" s="2" t="str">
        <f>IFERROR(__xludf.DUMMYFUNCTION("""COMPUTED_VALUE"""),"Pedagogy")</f>
        <v>Pedagogy</v>
      </c>
      <c r="F180" s="2" t="str">
        <f>IFERROR(__xludf.DUMMYFUNCTION("""COMPUTED_VALUE"""),"challenge")</f>
        <v>challenge</v>
      </c>
      <c r="G180" s="3" t="str">
        <f>IFERROR(__xludf.DUMMYFUNCTION("""COMPUTED_VALUE"""),"to make the lecture attractive students have to willing to interact. Right. Which is very difficult to do. And of course, uh, zoom teaching, uh, makes it a challenge.")</f>
        <v>to make the lecture attractive students have to willing to interact. Right. Which is very difficult to do. And of course, uh, zoom teaching, uh, makes it a challenge.</v>
      </c>
      <c r="H180" s="3" t="str">
        <f>IFERROR(__xludf.DUMMYFUNCTION("""COMPUTED_VALUE"""),"It is very difficult to interact with students in lecture remote teaching.")</f>
        <v>It is very difficult to interact with students in lecture remote teaching.</v>
      </c>
      <c r="I180" s="2" t="s">
        <v>3107</v>
      </c>
    </row>
    <row r="181">
      <c r="A181" s="50" t="s">
        <v>3108</v>
      </c>
      <c r="B181" s="2">
        <f>IFERROR(__xludf.DUMMYFUNCTION("""COMPUTED_VALUE"""),12.0)</f>
        <v>12</v>
      </c>
      <c r="C181" s="2">
        <f>IFERROR(__xludf.DUMMYFUNCTION("""COMPUTED_VALUE"""),41.0)</f>
        <v>41</v>
      </c>
      <c r="D181" s="2" t="str">
        <f>IFERROR(__xludf.DUMMYFUNCTION("""COMPUTED_VALUE"""),"R1 / R2")</f>
        <v>R1 / R2</v>
      </c>
      <c r="E181" s="2" t="str">
        <f>IFERROR(__xludf.DUMMYFUNCTION("""COMPUTED_VALUE"""),"Pedagogy")</f>
        <v>Pedagogy</v>
      </c>
      <c r="F181" s="2" t="str">
        <f>IFERROR(__xludf.DUMMYFUNCTION("""COMPUTED_VALUE"""),"challenge")</f>
        <v>challenge</v>
      </c>
      <c r="G181" s="3" t="str">
        <f>IFERROR(__xludf.DUMMYFUNCTION("""COMPUTED_VALUE""")," So part one is the three ways, just give you an overview of the, each of the three way. And then you have one part essentially for each of the three ways. And I think that the first two parts of the book you can find online, but, but not, not as a, someo"&amp;"ne who puts it in PDF, but from the publisher, from, from revolution, publisher and official version. So you can read it from the way.")</f>
        <v> So part one is the three ways, just give you an overview of the, each of the three way. And then you have one part essentially for each of the three ways. And I think that the first two parts of the book you can find online, but, but not, not as a, someone who puts it in PDF, but from the publisher, from, from revolution, publisher and official version. So you can read it from the way.</v>
      </c>
      <c r="H181" s="3" t="str">
        <f>IFERROR(__xludf.DUMMYFUNCTION("""COMPUTED_VALUE"""),"Students tend to get short free versions and not full versions of books")</f>
        <v>Students tend to get short free versions and not full versions of books</v>
      </c>
      <c r="I181" s="2" t="s">
        <v>1213</v>
      </c>
    </row>
    <row r="182">
      <c r="A182" s="50" t="s">
        <v>3109</v>
      </c>
      <c r="B182" s="2">
        <f>IFERROR(__xludf.DUMMYFUNCTION("""COMPUTED_VALUE"""),12.0)</f>
        <v>12</v>
      </c>
      <c r="C182" s="2">
        <f>IFERROR(__xludf.DUMMYFUNCTION("""COMPUTED_VALUE"""),49.0)</f>
        <v>49</v>
      </c>
      <c r="D182" s="2" t="str">
        <f>IFERROR(__xludf.DUMMYFUNCTION("""COMPUTED_VALUE"""),"R1 / R3")</f>
        <v>R1 / R3</v>
      </c>
      <c r="E182" s="2" t="str">
        <f>IFERROR(__xludf.DUMMYFUNCTION("""COMPUTED_VALUE"""),"Curriculum")</f>
        <v>Curriculum</v>
      </c>
      <c r="F182" s="2" t="str">
        <f>IFERROR(__xludf.DUMMYFUNCTION("""COMPUTED_VALUE"""),"challenge")</f>
        <v>challenge</v>
      </c>
      <c r="G182" s="3" t="str">
        <f>IFERROR(__xludf.DUMMYFUNCTION("""COMPUTED_VALUE"""),"teaching this course, it's possible to teach it with students with no experience, but it makes the thing like this. I've been trying to have interactions with the students about, I know certain topics become quite difficult because they cannot relate it t"&amp;"o anything concrete.")</f>
        <v>teaching this course, it's possible to teach it with students with no experience, but it makes the thing like this. I've been trying to have interactions with the students about, I know certain topics become quite difficult because they cannot relate it to anything concrete.</v>
      </c>
      <c r="H182" s="3" t="str">
        <f>IFERROR(__xludf.DUMMYFUNCTION("""COMPUTED_VALUE"""),"It is difficult to teach students with no industrial experience.")</f>
        <v>It is difficult to teach students with no industrial experience.</v>
      </c>
      <c r="I182" s="2" t="s">
        <v>3110</v>
      </c>
    </row>
    <row r="183">
      <c r="A183" s="50" t="s">
        <v>3111</v>
      </c>
      <c r="B183" s="2">
        <f>IFERROR(__xludf.DUMMYFUNCTION("""COMPUTED_VALUE"""),13.0)</f>
        <v>13</v>
      </c>
      <c r="C183" s="2">
        <f>IFERROR(__xludf.DUMMYFUNCTION("""COMPUTED_VALUE"""),3.0)</f>
        <v>3</v>
      </c>
      <c r="D183" s="2" t="str">
        <f>IFERROR(__xludf.DUMMYFUNCTION("""COMPUTED_VALUE"""),"R1 / R3")</f>
        <v>R1 / R3</v>
      </c>
      <c r="E183" s="2" t="str">
        <f>IFERROR(__xludf.DUMMYFUNCTION("""COMPUTED_VALUE"""),"General Challenges and Recommendations")</f>
        <v>General Challenges and Recommendations</v>
      </c>
      <c r="F183" s="2" t="str">
        <f>IFERROR(__xludf.DUMMYFUNCTION("""COMPUTED_VALUE"""),"challenge")</f>
        <v>challenge</v>
      </c>
      <c r="G183" s="3" t="str">
        <f>IFERROR(__xludf.DUMMYFUNCTION("""COMPUTED_VALUE"""),"the main, uh, challenge that we had was that DevOps is, there are many too many tools and, uh, many of these tools are not solid and are not commonly used yet. yet.")</f>
        <v>the main, uh, challenge that we had was that DevOps is, there are many too many tools and, uh, many of these tools are not solid and are not commonly used yet. yet.</v>
      </c>
      <c r="H183" s="3" t="str">
        <f>IFERROR(__xludf.DUMMYFUNCTION("""COMPUTED_VALUE"""),"Many tools and some are not mature and not commonly used yet.")</f>
        <v>Many tools and some are not mature and not commonly used yet.</v>
      </c>
      <c r="I183" s="2" t="s">
        <v>3112</v>
      </c>
    </row>
    <row r="184">
      <c r="A184" s="50" t="s">
        <v>3113</v>
      </c>
      <c r="B184" s="2">
        <f>IFERROR(__xludf.DUMMYFUNCTION("""COMPUTED_VALUE"""),13.0)</f>
        <v>13</v>
      </c>
      <c r="C184" s="2">
        <f>IFERROR(__xludf.DUMMYFUNCTION("""COMPUTED_VALUE"""),9.0)</f>
        <v>9</v>
      </c>
      <c r="D184" s="2" t="str">
        <f>IFERROR(__xludf.DUMMYFUNCTION("""COMPUTED_VALUE"""),"R1 / R3")</f>
        <v>R1 / R3</v>
      </c>
      <c r="E184" s="2" t="str">
        <f>IFERROR(__xludf.DUMMYFUNCTION("""COMPUTED_VALUE"""),"Environment Setup")</f>
        <v>Environment Setup</v>
      </c>
      <c r="F184" s="2" t="str">
        <f>IFERROR(__xludf.DUMMYFUNCTION("""COMPUTED_VALUE"""),"challenge")</f>
        <v>challenge</v>
      </c>
      <c r="G184" s="3" t="str">
        <f>IFERROR(__xludf.DUMMYFUNCTION("""COMPUTED_VALUE"""),"it didn't work for some specific tools that they wanted to present using this a katacoda, uh, website.")</f>
        <v>it didn't work for some specific tools that they wanted to present using this a katacoda, uh, website.</v>
      </c>
      <c r="H184" s="3" t="str">
        <f>IFERROR(__xludf.DUMMYFUNCTION("""COMPUTED_VALUE"""),"Katacoda does not work for some specific tools.")</f>
        <v>Katacoda does not work for some specific tools.</v>
      </c>
      <c r="I184" s="2" t="s">
        <v>3114</v>
      </c>
    </row>
    <row r="185">
      <c r="A185" s="50" t="s">
        <v>3115</v>
      </c>
      <c r="B185" s="2">
        <f>IFERROR(__xludf.DUMMYFUNCTION("""COMPUTED_VALUE"""),13.0)</f>
        <v>13</v>
      </c>
      <c r="C185" s="2">
        <f>IFERROR(__xludf.DUMMYFUNCTION("""COMPUTED_VALUE"""),17.0)</f>
        <v>17</v>
      </c>
      <c r="D185" s="2" t="str">
        <f>IFERROR(__xludf.DUMMYFUNCTION("""COMPUTED_VALUE"""),"R2 / R3")</f>
        <v>R2 / R3</v>
      </c>
      <c r="E185" s="2" t="str">
        <f>IFERROR(__xludf.DUMMYFUNCTION("""COMPUTED_VALUE"""),"Pedagogy")</f>
        <v>Pedagogy</v>
      </c>
      <c r="F185" s="2" t="str">
        <f>IFERROR(__xludf.DUMMYFUNCTION("""COMPUTED_VALUE"""),"challenge")</f>
        <v>challenge</v>
      </c>
      <c r="G185" s="3" t="str">
        <f>IFERROR(__xludf.DUMMYFUNCTION("""COMPUTED_VALUE"""),"we invited people from the industry, and that was the only lectures that we had. ... So some students were a bit confused because of that, uh, because they didn't know the background. ")</f>
        <v>we invited people from the industry, and that was the only lectures that we had. ... So some students were a bit confused because of that, uh, because they didn't know the background. </v>
      </c>
      <c r="H185" s="3" t="str">
        <f>IFERROR(__xludf.DUMMYFUNCTION("""COMPUTED_VALUE"""),"The students don't have the proper background to listen the lecture of people from the industry.")</f>
        <v>The students don't have the proper background to listen the lecture of people from the industry.</v>
      </c>
      <c r="I185" s="2" t="s">
        <v>3116</v>
      </c>
    </row>
    <row r="186">
      <c r="A186" s="50" t="s">
        <v>3117</v>
      </c>
      <c r="B186" s="2">
        <f>IFERROR(__xludf.DUMMYFUNCTION("""COMPUTED_VALUE"""),13.0)</f>
        <v>13</v>
      </c>
      <c r="C186" s="2">
        <f>IFERROR(__xludf.DUMMYFUNCTION("""COMPUTED_VALUE"""),18.0)</f>
        <v>18</v>
      </c>
      <c r="D186" s="2" t="str">
        <f>IFERROR(__xludf.DUMMYFUNCTION("""COMPUTED_VALUE"""),"R1 / R3")</f>
        <v>R1 / R3</v>
      </c>
      <c r="E186" s="2" t="str">
        <f>IFERROR(__xludf.DUMMYFUNCTION("""COMPUTED_VALUE"""),"Assessment")</f>
        <v>Assessment</v>
      </c>
      <c r="F186" s="2" t="str">
        <f>IFERROR(__xludf.DUMMYFUNCTION("""COMPUTED_VALUE"""),"challenge")</f>
        <v>challenge</v>
      </c>
      <c r="G186" s="3" t="str">
        <f>IFERROR(__xludf.DUMMYFUNCTION("""COMPUTED_VALUE"""),"since the students were free to use any technology and present it ...  it was hard to stay as objective as possible and to have, uh, have the same criteria and metric for, uh, scoring different students, because someone was working on this project, someon"&amp;"e was working on that project.")</f>
        <v>since the students were free to use any technology and present it ...  it was hard to stay as objective as possible and to have, uh, have the same criteria and metric for, uh, scoring different students, because someone was working on this project, someone was working on that project.</v>
      </c>
      <c r="H186" s="3" t="str">
        <f>IFERROR(__xludf.DUMMYFUNCTION("""COMPUTED_VALUE"""),"It was hard to have the same criteria and metric for scoring different students because they were free to use any technology and present it.")</f>
        <v>It was hard to have the same criteria and metric for scoring different students because they were free to use any technology and present it.</v>
      </c>
      <c r="I186" s="2" t="s">
        <v>3118</v>
      </c>
    </row>
    <row r="187">
      <c r="A187" s="50" t="s">
        <v>3119</v>
      </c>
      <c r="B187" s="2">
        <f>IFERROR(__xludf.DUMMYFUNCTION("""COMPUTED_VALUE"""),13.0)</f>
        <v>13</v>
      </c>
      <c r="C187" s="2">
        <f>IFERROR(__xludf.DUMMYFUNCTION("""COMPUTED_VALUE"""),25.0)</f>
        <v>25</v>
      </c>
      <c r="D187" s="2" t="str">
        <f>IFERROR(__xludf.DUMMYFUNCTION("""COMPUTED_VALUE"""),"R1 / R3")</f>
        <v>R1 / R3</v>
      </c>
      <c r="E187" s="2" t="str">
        <f>IFERROR(__xludf.DUMMYFUNCTION("""COMPUTED_VALUE"""),"Other Challenge and Recommendation")</f>
        <v>Other Challenge and Recommendation</v>
      </c>
      <c r="F187" s="2" t="str">
        <f>IFERROR(__xludf.DUMMYFUNCTION("""COMPUTED_VALUE"""),"challenge")</f>
        <v>challenge</v>
      </c>
      <c r="G187" s="3" t="str">
        <f>IFERROR(__xludf.DUMMYFUNCTION("""COMPUTED_VALUE"""),"it was a bit risk because if they had contributed to something that, uh, that the developers didn't merge they wouldn't get, uh, get the score.")</f>
        <v>it was a bit risk because if they had contributed to something that, uh, that the developers didn't merge they wouldn't get, uh, get the score.</v>
      </c>
      <c r="H187" s="3" t="str">
        <f>IFERROR(__xludf.DUMMYFUNCTION("""COMPUTED_VALUE"""),"The students wouldn't get the score if they had contributed to some open source project that the developers didn't merge on github.")</f>
        <v>The students wouldn't get the score if they had contributed to some open source project that the developers didn't merge on github.</v>
      </c>
      <c r="I187" s="2" t="s">
        <v>3120</v>
      </c>
    </row>
    <row r="188">
      <c r="A188" s="50" t="s">
        <v>3121</v>
      </c>
      <c r="B188" s="2">
        <f>IFERROR(__xludf.DUMMYFUNCTION("""COMPUTED_VALUE"""),14.0)</f>
        <v>14</v>
      </c>
      <c r="C188" s="2">
        <f>IFERROR(__xludf.DUMMYFUNCTION("""COMPUTED_VALUE"""),1.0)</f>
        <v>1</v>
      </c>
      <c r="D188" s="2" t="str">
        <f>IFERROR(__xludf.DUMMYFUNCTION("""COMPUTED_VALUE"""),"R1 / R2")</f>
        <v>R1 / R2</v>
      </c>
      <c r="E188" s="2" t="str">
        <f>IFERROR(__xludf.DUMMYFUNCTION("""COMPUTED_VALUE"""),"General Challenges and Recommendations")</f>
        <v>General Challenges and Recommendations</v>
      </c>
      <c r="F188" s="2" t="str">
        <f>IFERROR(__xludf.DUMMYFUNCTION("""COMPUTED_VALUE"""),"challenge")</f>
        <v>challenge</v>
      </c>
      <c r="G188" s="3" t="str">
        <f>IFERROR(__xludf.DUMMYFUNCTION("""COMPUTED_VALUE""")," let's say political challenge that you have to convince in a way that DevOps is not purely technical and that it's must be part of an academy curriculum.")</f>
        <v> let's say political challenge that you have to convince in a way that DevOps is not purely technical and that it's must be part of an academy curriculum.</v>
      </c>
      <c r="H188" s="3" t="str">
        <f>IFERROR(__xludf.DUMMYFUNCTION("""COMPUTED_VALUE"""),"Convince people that DevOps is not purely technical and it must be part of an academy curriculum")</f>
        <v>Convince people that DevOps is not purely technical and it must be part of an academy curriculum</v>
      </c>
      <c r="I188" s="2" t="s">
        <v>3122</v>
      </c>
    </row>
    <row r="189">
      <c r="A189" s="50" t="s">
        <v>3123</v>
      </c>
      <c r="B189" s="2">
        <f>IFERROR(__xludf.DUMMYFUNCTION("""COMPUTED_VALUE"""),14.0)</f>
        <v>14</v>
      </c>
      <c r="C189" s="2">
        <f>IFERROR(__xludf.DUMMYFUNCTION("""COMPUTED_VALUE"""),2.0)</f>
        <v>2</v>
      </c>
      <c r="D189" s="2" t="str">
        <f>IFERROR(__xludf.DUMMYFUNCTION("""COMPUTED_VALUE"""),"R2 / R3")</f>
        <v>R2 / R3</v>
      </c>
      <c r="E189" s="2" t="str">
        <f>IFERROR(__xludf.DUMMYFUNCTION("""COMPUTED_VALUE"""),"General Challenges and Recommendations")</f>
        <v>General Challenges and Recommendations</v>
      </c>
      <c r="F189" s="2" t="str">
        <f>IFERROR(__xludf.DUMMYFUNCTION("""COMPUTED_VALUE"""),"challenge")</f>
        <v>challenge</v>
      </c>
      <c r="G189" s="3" t="str">
        <f>IFERROR(__xludf.DUMMYFUNCTION("""COMPUTED_VALUE""")," the second point that the second challenge would be [...] skills.  I'm working on software engineering and I'm working on how to build software since the gate.
")</f>
        <v> the second point that the second challenge would be [...] skills.  I'm working on software engineering and I'm working on how to build software since the gate.
</v>
      </c>
      <c r="H189" s="3" t="str">
        <f>IFERROR(__xludf.DUMMYFUNCTION("""COMPUTED_VALUE"""),"Skills to teach DevOps are challeging.")</f>
        <v>Skills to teach DevOps are challeging.</v>
      </c>
      <c r="I189" s="2" t="s">
        <v>3124</v>
      </c>
    </row>
    <row r="190">
      <c r="A190" s="50" t="s">
        <v>3125</v>
      </c>
      <c r="B190" s="2">
        <f>IFERROR(__xludf.DUMMYFUNCTION("""COMPUTED_VALUE"""),14.0)</f>
        <v>14</v>
      </c>
      <c r="C190" s="2">
        <f>IFERROR(__xludf.DUMMYFUNCTION("""COMPUTED_VALUE"""),4.0)</f>
        <v>4</v>
      </c>
      <c r="D190" s="2" t="str">
        <f>IFERROR(__xludf.DUMMYFUNCTION("""COMPUTED_VALUE"""),"R1 / R3")</f>
        <v>R1 / R3</v>
      </c>
      <c r="E190" s="2" t="str">
        <f>IFERROR(__xludf.DUMMYFUNCTION("""COMPUTED_VALUE"""),"General Challenges and Recommendations")</f>
        <v>General Challenges and Recommendations</v>
      </c>
      <c r="F190" s="2" t="str">
        <f>IFERROR(__xludf.DUMMYFUNCTION("""COMPUTED_VALUE"""),"challenge")</f>
        <v>challenge</v>
      </c>
      <c r="G190" s="3" t="str">
        <f>IFERROR(__xludf.DUMMYFUNCTION("""COMPUTED_VALUE""")," the fact that DevOps is not just purely technical, it would be related to the fact that it's really complicated teach on a given semester because you have, let's say 13 to 15 weeks, three hours a week, and then you have to go through you can't address li"&amp;"ke large, large project because it doesn't fit in the semester.")</f>
        <v> the fact that DevOps is not just purely technical, it would be related to the fact that it's really complicated teach on a given semester because you have, let's say 13 to 15 weeks, three hours a week, and then you have to go through you can't address like large, large project because it doesn't fit in the semester.</v>
      </c>
      <c r="H190" s="3" t="str">
        <f>IFERROR(__xludf.DUMMYFUNCTION("""COMPUTED_VALUE"""),"Students can't work on large projects in 13 to 15 weeks three hours a week course.")</f>
        <v>Students can't work on large projects in 13 to 15 weeks three hours a week course.</v>
      </c>
      <c r="I190" s="2" t="s">
        <v>3126</v>
      </c>
    </row>
    <row r="191">
      <c r="A191" s="50" t="s">
        <v>3127</v>
      </c>
      <c r="B191" s="2">
        <f>IFERROR(__xludf.DUMMYFUNCTION("""COMPUTED_VALUE"""),14.0)</f>
        <v>14</v>
      </c>
      <c r="C191" s="2">
        <f>IFERROR(__xludf.DUMMYFUNCTION("""COMPUTED_VALUE"""),4.0)</f>
        <v>4</v>
      </c>
      <c r="D191" s="2" t="str">
        <f>IFERROR(__xludf.DUMMYFUNCTION("""COMPUTED_VALUE"""),"R1 / R3")</f>
        <v>R1 / R3</v>
      </c>
      <c r="E191" s="2" t="str">
        <f>IFERROR(__xludf.DUMMYFUNCTION("""COMPUTED_VALUE"""),"General Challenges and Recommendations")</f>
        <v>General Challenges and Recommendations</v>
      </c>
      <c r="F191" s="2" t="str">
        <f>IFERROR(__xludf.DUMMYFUNCTION("""COMPUTED_VALUE"""),"challenge")</f>
        <v>challenge</v>
      </c>
      <c r="G191" s="3" t="str">
        <f>IFERROR(__xludf.DUMMYFUNCTION("""COMPUTED_VALUE"""),"how this practitioner really works, because if you're not doing this, then you will stay at a very technical level. Like you deploy a pipeline and you're doing DevOps, which is absolutely not the case. And that's absolutely not the, uh, understanding of w"&amp;"hat DevOps is.")</f>
        <v>how this practitioner really works, because if you're not doing this, then you will stay at a very technical level. Like you deploy a pipeline and you're doing DevOps, which is absolutely not the case. And that's absolutely not the, uh, understanding of what DevOps is.</v>
      </c>
      <c r="H191" s="3" t="str">
        <f>IFERROR(__xludf.DUMMYFUNCTION("""COMPUTED_VALUE"""),"It is difficult to students understand how the pipeline deployment works and not just running it.")</f>
        <v>It is difficult to students understand how the pipeline deployment works and not just running it.</v>
      </c>
      <c r="I191" s="2" t="s">
        <v>3128</v>
      </c>
    </row>
    <row r="192">
      <c r="A192" s="50" t="s">
        <v>3129</v>
      </c>
      <c r="B192" s="2">
        <f>IFERROR(__xludf.DUMMYFUNCTION("""COMPUTED_VALUE"""),14.0)</f>
        <v>14</v>
      </c>
      <c r="C192" s="2">
        <f>IFERROR(__xludf.DUMMYFUNCTION("""COMPUTED_VALUE"""),5.0)</f>
        <v>5</v>
      </c>
      <c r="D192" s="2" t="str">
        <f>IFERROR(__xludf.DUMMYFUNCTION("""COMPUTED_VALUE"""),"R1 / R3")</f>
        <v>R1 / R3</v>
      </c>
      <c r="E192" s="2" t="str">
        <f>IFERROR(__xludf.DUMMYFUNCTION("""COMPUTED_VALUE"""),"General Challenges and Recommendations")</f>
        <v>General Challenges and Recommendations</v>
      </c>
      <c r="F192" s="2" t="str">
        <f>IFERROR(__xludf.DUMMYFUNCTION("""COMPUTED_VALUE"""),"challenge")</f>
        <v>challenge</v>
      </c>
      <c r="G192" s="3" t="str">
        <f>IFERROR(__xludf.DUMMYFUNCTION("""COMPUTED_VALUE"""),"if you give artificial example or small toy example, then it's just going about configuring small things. So naturally naturally what DevOps is, uh, it's really complicated to make the students experience a cultural change and those kinds of things, becau"&amp;"se there's, well, there's no culture of, uh, industrial project in a school because it's academic project or it's teaching how to behave in a industrial proje")</f>
        <v>if you give artificial example or small toy example, then it's just going about configuring small things. So naturally naturally what DevOps is, uh, it's really complicated to make the students experience a cultural change and those kinds of things, because there's, well, there's no culture of, uh, industrial project in a school because it's academic project or it's teaching how to behave in a industrial proje</v>
      </c>
      <c r="H192" s="3" t="str">
        <f>IFERROR(__xludf.DUMMYFUNCTION("""COMPUTED_VALUE"""),"The students can have difficulty understanding the DevOps culture working on a small example.")</f>
        <v>The students can have difficulty understanding the DevOps culture working on a small example.</v>
      </c>
      <c r="I192" s="2" t="s">
        <v>3130</v>
      </c>
    </row>
    <row r="193">
      <c r="A193" s="50" t="s">
        <v>3131</v>
      </c>
      <c r="B193" s="2">
        <f>IFERROR(__xludf.DUMMYFUNCTION("""COMPUTED_VALUE"""),14.0)</f>
        <v>14</v>
      </c>
      <c r="C193" s="2">
        <f>IFERROR(__xludf.DUMMYFUNCTION("""COMPUTED_VALUE"""),5.0)</f>
        <v>5</v>
      </c>
      <c r="D193" s="2" t="str">
        <f>IFERROR(__xludf.DUMMYFUNCTION("""COMPUTED_VALUE"""),"R1 / R3")</f>
        <v>R1 / R3</v>
      </c>
      <c r="E193" s="2" t="str">
        <f>IFERROR(__xludf.DUMMYFUNCTION("""COMPUTED_VALUE"""),"General Challenges and Recommendations")</f>
        <v>General Challenges and Recommendations</v>
      </c>
      <c r="F193" s="2" t="str">
        <f>IFERROR(__xludf.DUMMYFUNCTION("""COMPUTED_VALUE"""),"challenge")</f>
        <v>challenge</v>
      </c>
      <c r="G193" s="3" t="str">
        <f>IFERROR(__xludf.DUMMYFUNCTION("""COMPUTED_VALUE"""),"I mean, there are students, so they are, they are not in the industry yet. And so that's, that would be the main part to make the student understand that it's, it's not about configuring Jenkins or having Docker running on their computer.")</f>
        <v>I mean, there are students, so they are, they are not in the industry yet. And so that's, that would be the main part to make the student understand that it's, it's not about configuring Jenkins or having Docker running on their computer.</v>
      </c>
      <c r="H193" s="3" t="str">
        <f>IFERROR(__xludf.DUMMYFUNCTION("""COMPUTED_VALUE"""),"The students without industry experience can have difficulty to understand that DevOps is much more than using tools.")</f>
        <v>The students without industry experience can have difficulty to understand that DevOps is much more than using tools.</v>
      </c>
      <c r="I193" s="2" t="s">
        <v>857</v>
      </c>
    </row>
    <row r="194">
      <c r="A194" s="50" t="s">
        <v>3132</v>
      </c>
      <c r="B194" s="2">
        <f>IFERROR(__xludf.DUMMYFUNCTION("""COMPUTED_VALUE"""),14.0)</f>
        <v>14</v>
      </c>
      <c r="C194" s="2">
        <f>IFERROR(__xludf.DUMMYFUNCTION("""COMPUTED_VALUE"""),5.0)</f>
        <v>5</v>
      </c>
      <c r="D194" s="2" t="str">
        <f>IFERROR(__xludf.DUMMYFUNCTION("""COMPUTED_VALUE"""),"R1 / R3")</f>
        <v>R1 / R3</v>
      </c>
      <c r="E194" s="2" t="str">
        <f>IFERROR(__xludf.DUMMYFUNCTION("""COMPUTED_VALUE"""),"General Challenges and Recommendations")</f>
        <v>General Challenges and Recommendations</v>
      </c>
      <c r="F194" s="2" t="str">
        <f>IFERROR(__xludf.DUMMYFUNCTION("""COMPUTED_VALUE"""),"challenge")</f>
        <v>challenge</v>
      </c>
      <c r="G194" s="3" t="str">
        <f>IFERROR(__xludf.DUMMYFUNCTION("""COMPUTED_VALUE"""),"there's a gap between what we can experiment during the course, what can be presented during the invited lecture from the industry, for example, those kinds of things and how, how whole, the things are connected together. ")</f>
        <v>there's a gap between what we can experiment during the course, what can be presented during the invited lecture from the industry, for example, those kinds of things and how, how whole, the things are connected together. </v>
      </c>
      <c r="H194" s="3" t="str">
        <f>IFERROR(__xludf.DUMMYFUNCTION("""COMPUTED_VALUE"""),"There is a gap about how to connect the lectures with the labs.")</f>
        <v>There is a gap about how to connect the lectures with the labs.</v>
      </c>
      <c r="I194" s="2" t="s">
        <v>3133</v>
      </c>
    </row>
    <row r="195">
      <c r="A195" s="50" t="s">
        <v>3134</v>
      </c>
      <c r="B195" s="2">
        <f>IFERROR(__xludf.DUMMYFUNCTION("""COMPUTED_VALUE"""),14.0)</f>
        <v>14</v>
      </c>
      <c r="C195" s="2">
        <f>IFERROR(__xludf.DUMMYFUNCTION("""COMPUTED_VALUE"""),8.0)</f>
        <v>8</v>
      </c>
      <c r="D195" s="2" t="str">
        <f>IFERROR(__xludf.DUMMYFUNCTION("""COMPUTED_VALUE"""),"R1 / R3")</f>
        <v>R1 / R3</v>
      </c>
      <c r="E195" s="2" t="str">
        <f>IFERROR(__xludf.DUMMYFUNCTION("""COMPUTED_VALUE"""),"General Challenges and Recommendations")</f>
        <v>General Challenges and Recommendations</v>
      </c>
      <c r="F195" s="2" t="str">
        <f>IFERROR(__xludf.DUMMYFUNCTION("""COMPUTED_VALUE"""),"challenge")</f>
        <v>challenge</v>
      </c>
      <c r="G195" s="3" t="str">
        <f>IFERROR(__xludf.DUMMYFUNCTION("""COMPUTED_VALUE""")," I mean devops is always evolving and we are not what we consider DevOps here is different for, from what was considered DevOps, let's say five years ago. ")</f>
        <v> I mean devops is always evolving and we are not what we consider DevOps here is different for, from what was considered DevOps, let's say five years ago. </v>
      </c>
      <c r="H195" s="3" t="str">
        <f>IFERROR(__xludf.DUMMYFUNCTION("""COMPUTED_VALUE"""),"DevOps is always evolving fast in the last five years.")</f>
        <v>DevOps is always evolving fast in the last five years.</v>
      </c>
      <c r="I195" s="2" t="s">
        <v>1907</v>
      </c>
    </row>
    <row r="196">
      <c r="A196" s="50" t="s">
        <v>3135</v>
      </c>
      <c r="B196" s="2">
        <f>IFERROR(__xludf.DUMMYFUNCTION("""COMPUTED_VALUE"""),14.0)</f>
        <v>14</v>
      </c>
      <c r="C196" s="2">
        <f>IFERROR(__xludf.DUMMYFUNCTION("""COMPUTED_VALUE"""),9.0)</f>
        <v>9</v>
      </c>
      <c r="D196" s="2" t="str">
        <f>IFERROR(__xludf.DUMMYFUNCTION("""COMPUTED_VALUE"""),"R1 / R3")</f>
        <v>R1 / R3</v>
      </c>
      <c r="E196" s="2" t="str">
        <f>IFERROR(__xludf.DUMMYFUNCTION("""COMPUTED_VALUE"""),"Environment Setup")</f>
        <v>Environment Setup</v>
      </c>
      <c r="F196" s="2" t="str">
        <f>IFERROR(__xludf.DUMMYFUNCTION("""COMPUTED_VALUE"""),"challenge")</f>
        <v>challenge</v>
      </c>
      <c r="G196" s="3" t="str">
        <f>IFERROR(__xludf.DUMMYFUNCTION("""COMPUTED_VALUE"""),"that's really complicated as, um, like as a teacher, uh, then we decided to move for on premises, uh, version with our own, uh, systems for deployment building and everything, uh, another disaster, because then it requires a lot of maintenance and a lot o"&amp;"f them, of course, or the students are going to work like in the two days before the room, the, um, the delivery of the project.
")</f>
        <v>that's really complicated as, um, like as a teacher, uh, then we decided to move for on premises, uh, version with our own, uh, systems for deployment building and everything, uh, another disaster, because then it requires a lot of maintenance and a lot of them, of course, or the students are going to work like in the two days before the room, the, um, the delivery of the project.
</v>
      </c>
      <c r="H196" s="3" t="str">
        <f>IFERROR(__xludf.DUMMYFUNCTION("""COMPUTED_VALUE"""),"On premises systems for deployment everything is complicated because it requires a lot of maintenance and time.")</f>
        <v>On premises systems for deployment everything is complicated because it requires a lot of maintenance and time.</v>
      </c>
      <c r="I196" s="2" t="s">
        <v>3136</v>
      </c>
    </row>
    <row r="197">
      <c r="A197" s="50" t="s">
        <v>3137</v>
      </c>
      <c r="B197" s="2">
        <f>IFERROR(__xludf.DUMMYFUNCTION("""COMPUTED_VALUE"""),14.0)</f>
        <v>14</v>
      </c>
      <c r="C197" s="2">
        <f>IFERROR(__xludf.DUMMYFUNCTION("""COMPUTED_VALUE"""),9.0)</f>
        <v>9</v>
      </c>
      <c r="D197" s="2" t="str">
        <f>IFERROR(__xludf.DUMMYFUNCTION("""COMPUTED_VALUE"""),"R1 / R3")</f>
        <v>R1 / R3</v>
      </c>
      <c r="E197" s="2" t="str">
        <f>IFERROR(__xludf.DUMMYFUNCTION("""COMPUTED_VALUE"""),"Environment Setup")</f>
        <v>Environment Setup</v>
      </c>
      <c r="F197" s="2" t="str">
        <f>IFERROR(__xludf.DUMMYFUNCTION("""COMPUTED_VALUE"""),"challenge")</f>
        <v>challenge</v>
      </c>
      <c r="G197" s="3" t="str">
        <f>IFERROR(__xludf.DUMMYFUNCTION("""COMPUTED_VALUE"""),"We try to use, um, like remote services to relieve the burden of setup saying that, okay, you're going to use Jenkins on the cloud. Then you're going to use, we have this partnership with IBM. So we're using to use the blue-J platform from, uh, IBM that w"&amp;"as supporting this kind of thing, um, disaster, because in the end it was really complicated to debug what was happening because you don't have the access go on the what's happening.")</f>
        <v>We try to use, um, like remote services to relieve the burden of setup saying that, okay, you're going to use Jenkins on the cloud. Then you're going to use, we have this partnership with IBM. So we're using to use the blue-J platform from, uh, IBM that was supporting this kind of thing, um, disaster, because in the end it was really complicated to debug what was happening because you don't have the access go on the what's happening.</v>
      </c>
      <c r="H197" s="3" t="str">
        <f>IFERROR(__xludf.DUMMYFUNCTION("""COMPUTED_VALUE"""),"Using remote services is really complicated to debug what is happening because you don't have the access on the what's happening.")</f>
        <v>Using remote services is really complicated to debug what is happening because you don't have the access on the what's happening.</v>
      </c>
      <c r="I197" s="2" t="s">
        <v>1911</v>
      </c>
    </row>
    <row r="198">
      <c r="A198" s="50" t="s">
        <v>3138</v>
      </c>
      <c r="B198" s="2">
        <f>IFERROR(__xludf.DUMMYFUNCTION("""COMPUTED_VALUE"""),14.0)</f>
        <v>14</v>
      </c>
      <c r="C198" s="2">
        <f>IFERROR(__xludf.DUMMYFUNCTION("""COMPUTED_VALUE"""),10.0)</f>
        <v>10</v>
      </c>
      <c r="D198" s="2" t="str">
        <f>IFERROR(__xludf.DUMMYFUNCTION("""COMPUTED_VALUE"""),"R1 / R3")</f>
        <v>R1 / R3</v>
      </c>
      <c r="E198" s="2" t="str">
        <f>IFERROR(__xludf.DUMMYFUNCTION("""COMPUTED_VALUE"""),"Environment Setup")</f>
        <v>Environment Setup</v>
      </c>
      <c r="F198" s="2" t="str">
        <f>IFERROR(__xludf.DUMMYFUNCTION("""COMPUTED_VALUE"""),"challenge")</f>
        <v>challenge</v>
      </c>
      <c r="G198" s="3" t="str">
        <f>IFERROR(__xludf.DUMMYFUNCTION("""COMPUTED_VALUE""")," we've tried to let the students, uh, deal with the setup and, uh, install everything on their computer with Dockerizing stuff and scan things. And that was yet another disaster because then it's not reproducible and it works on their computer, but then i"&amp;"t's really complicated to make it work on the TA.
")</f>
        <v> we've tried to let the students, uh, deal with the setup and, uh, install everything on their computer with Dockerizing stuff and scan things. And that was yet another disaster because then it's not reproducible and it works on their computer, but then it's really complicated to make it work on the TA.
</v>
      </c>
      <c r="H198" s="3" t="str">
        <f>IFERROR(__xludf.DUMMYFUNCTION("""COMPUTED_VALUE"""),"Let the students deal with the environment setup on their computers is not reproducible and is complicated to make it work even with the teacher assistant.")</f>
        <v>Let the students deal with the environment setup on their computers is not reproducible and is complicated to make it work even with the teacher assistant.</v>
      </c>
      <c r="I198" s="2" t="s">
        <v>3139</v>
      </c>
    </row>
    <row r="199">
      <c r="A199" s="50" t="s">
        <v>3140</v>
      </c>
      <c r="B199" s="2">
        <f>IFERROR(__xludf.DUMMYFUNCTION("""COMPUTED_VALUE"""),14.0)</f>
        <v>14</v>
      </c>
      <c r="C199" s="2">
        <f>IFERROR(__xludf.DUMMYFUNCTION("""COMPUTED_VALUE"""),10.0)</f>
        <v>10</v>
      </c>
      <c r="D199" s="2" t="str">
        <f>IFERROR(__xludf.DUMMYFUNCTION("""COMPUTED_VALUE"""),"R1 / R3")</f>
        <v>R1 / R3</v>
      </c>
      <c r="E199" s="2" t="str">
        <f>IFERROR(__xludf.DUMMYFUNCTION("""COMPUTED_VALUE"""),"Environment Setup")</f>
        <v>Environment Setup</v>
      </c>
      <c r="F199" s="2" t="str">
        <f>IFERROR(__xludf.DUMMYFUNCTION("""COMPUTED_VALUE"""),"challenge")</f>
        <v>challenge</v>
      </c>
      <c r="G199" s="3" t="str">
        <f>IFERROR(__xludf.DUMMYFUNCTION("""COMPUTED_VALUE"""),"your Bamboo continuous to, uh, integration will just collapse because there's way too much students. My cohorts were 120 students a year. So when you have 120 students who all try to start their pipeline at the very same time, uh, in the last two days, an"&amp;"d it's just a catastrophe and I mean, this thing will always happen.")</f>
        <v>your Bamboo continuous to, uh, integration will just collapse because there's way too much students. My cohorts were 120 students a year. So when you have 120 students who all try to start their pipeline at the very same time, uh, in the last two days, and it's just a catastrophe and I mean, this thing will always happen.</v>
      </c>
      <c r="H199" s="3" t="str">
        <f>IFERROR(__xludf.DUMMYFUNCTION("""COMPUTED_VALUE"""),"Bamboo continuous integration does not work with 120 students running pipeline at the same time.")</f>
        <v>Bamboo continuous integration does not work with 120 students running pipeline at the same time.</v>
      </c>
      <c r="I199" s="2" t="s">
        <v>3141</v>
      </c>
    </row>
    <row r="200">
      <c r="A200" s="50" t="s">
        <v>3142</v>
      </c>
      <c r="B200" s="40">
        <f>IFERROR(__xludf.DUMMYFUNCTION("""COMPUTED_VALUE"""),14.0)</f>
        <v>14</v>
      </c>
      <c r="C200" s="40">
        <f>IFERROR(__xludf.DUMMYFUNCTION("""COMPUTED_VALUE"""),12.0)</f>
        <v>12</v>
      </c>
      <c r="D200" s="40" t="str">
        <f>IFERROR(__xludf.DUMMYFUNCTION("""COMPUTED_VALUE"""),"R2 / R3")</f>
        <v>R2 / R3</v>
      </c>
      <c r="E200" s="40" t="str">
        <f>IFERROR(__xludf.DUMMYFUNCTION("""COMPUTED_VALUE"""),"Tool / Technology")</f>
        <v>Tool / Technology</v>
      </c>
      <c r="F200" s="40" t="str">
        <f>IFERROR(__xludf.DUMMYFUNCTION("""COMPUTED_VALUE"""),"challenge")</f>
        <v>challenge</v>
      </c>
      <c r="G200" s="51" t="str">
        <f>IFERROR(__xludf.DUMMYFUNCTION("""COMPUTED_VALUE""")," mean, captive of their platform and you also have to sign with your blood and agreements that you're doing it for academic purposes and those kind of things, because IBM can be quite aggressive with their partnership, um, policies. So except that I had t"&amp;"o sign something that was a little bit too much from my perspective, this kind of tooling was good.")</f>
        <v> mean, captive of their platform and you also have to sign with your blood and agreements that you're doing it for academic purposes and those kind of things, because IBM can be quite aggressive with their partnership, um, policies. So except that I had to sign something that was a little bit too much from my perspective, this kind of tooling was good.</v>
      </c>
      <c r="H200" s="51" t="str">
        <f>IFERROR(__xludf.DUMMYFUNCTION("""COMPUTED_VALUE"""),"Cloud providers can have aggressive policies in the agreements for academic purposes.")</f>
        <v>Cloud providers can have aggressive policies in the agreements for academic purposes.</v>
      </c>
      <c r="I200" s="40" t="s">
        <v>3143</v>
      </c>
    </row>
    <row r="201">
      <c r="A201" s="50" t="s">
        <v>3144</v>
      </c>
      <c r="B201" s="2">
        <f>IFERROR(__xludf.DUMMYFUNCTION("""COMPUTED_VALUE"""),14.0)</f>
        <v>14</v>
      </c>
      <c r="C201" s="2">
        <f>IFERROR(__xludf.DUMMYFUNCTION("""COMPUTED_VALUE"""),15.0)</f>
        <v>15</v>
      </c>
      <c r="D201" s="2" t="str">
        <f>IFERROR(__xludf.DUMMYFUNCTION("""COMPUTED_VALUE"""),"R1 / R3")</f>
        <v>R1 / R3</v>
      </c>
      <c r="E201" s="2" t="str">
        <f>IFERROR(__xludf.DUMMYFUNCTION("""COMPUTED_VALUE"""),"DevOps Concepts")</f>
        <v>DevOps Concepts</v>
      </c>
      <c r="F201" s="2" t="str">
        <f>IFERROR(__xludf.DUMMYFUNCTION("""COMPUTED_VALUE"""),"challenge")</f>
        <v>challenge</v>
      </c>
      <c r="G201" s="3" t="str">
        <f>IFERROR(__xludf.DUMMYFUNCTION("""COMPUTED_VALUE""")," when you're talking to freshmen and they have no idea what's happening. Like they have a superficial idea of what's happening. Then it's like finding a way to explain them why the mindset is important. ")</f>
        <v> when you're talking to freshmen and they have no idea what's happening. Like they have a superficial idea of what's happening. Then it's like finding a way to explain them why the mindset is important. </v>
      </c>
      <c r="H201" s="3" t="str">
        <f>IFERROR(__xludf.DUMMYFUNCTION("""COMPUTED_VALUE"""),"It is difficult to explain the importance of DevOps mindset to students that have a superficial idea of what is happening to industry.")</f>
        <v>It is difficult to explain the importance of DevOps mindset to students that have a superficial idea of what is happening to industry.</v>
      </c>
      <c r="I201" s="2" t="s">
        <v>3145</v>
      </c>
    </row>
    <row r="202">
      <c r="A202" s="50" t="s">
        <v>3146</v>
      </c>
      <c r="B202" s="2">
        <f>IFERROR(__xludf.DUMMYFUNCTION("""COMPUTED_VALUE"""),14.0)</f>
        <v>14</v>
      </c>
      <c r="C202" s="2">
        <f>IFERROR(__xludf.DUMMYFUNCTION("""COMPUTED_VALUE"""),16.0)</f>
        <v>16</v>
      </c>
      <c r="D202" s="2" t="str">
        <f>IFERROR(__xludf.DUMMYFUNCTION("""COMPUTED_VALUE"""),"R1 / R2")</f>
        <v>R1 / R2</v>
      </c>
      <c r="E202" s="2" t="str">
        <f>IFERROR(__xludf.DUMMYFUNCTION("""COMPUTED_VALUE"""),"Class Preparation")</f>
        <v>Class Preparation</v>
      </c>
      <c r="F202" s="2" t="str">
        <f>IFERROR(__xludf.DUMMYFUNCTION("""COMPUTED_VALUE"""),"challenge")</f>
        <v>challenge</v>
      </c>
      <c r="G202" s="3" t="str">
        <f>IFERROR(__xludf.DUMMYFUNCTION("""COMPUTED_VALUE"""),"the lab session, they have to be like really precise. You have to, it would work one day. And then the second day it doesn't work because there's an upgrade in the Docker API that makes things totally different. Or you you're, you're using it in the Docke"&amp;"rfile, you're using keywords. And then suddenly the new version of Docker decide that those keywords are deprecated and that you should not, uh, declared the authors this way.")</f>
        <v>the lab session, they have to be like really precise. You have to, it would work one day. And then the second day it doesn't work because there's an upgrade in the Docker API that makes things totally different. Or you you're, you're using it in the Dockerfile, you're using keywords. And then suddenly the new version of Docker decide that those keywords are deprecated and that you should not, uh, declared the authors this way.</v>
      </c>
      <c r="H202" s="3" t="str">
        <f>IFERROR(__xludf.DUMMYFUNCTION("""COMPUTED_VALUE"""),"Lab session works one day and then doesn't work because there are changes like update in Docker API.")</f>
        <v>Lab session works one day and then doesn't work because there are changes like update in Docker API.</v>
      </c>
      <c r="I202" s="2" t="s">
        <v>3147</v>
      </c>
    </row>
    <row r="203">
      <c r="A203" s="50" t="s">
        <v>3148</v>
      </c>
      <c r="B203" s="2">
        <f>IFERROR(__xludf.DUMMYFUNCTION("""COMPUTED_VALUE"""),14.0)</f>
        <v>14</v>
      </c>
      <c r="C203" s="2">
        <f>IFERROR(__xludf.DUMMYFUNCTION("""COMPUTED_VALUE"""),16.0)</f>
        <v>16</v>
      </c>
      <c r="D203" s="2" t="str">
        <f>IFERROR(__xludf.DUMMYFUNCTION("""COMPUTED_VALUE"""),"R1 / R2")</f>
        <v>R1 / R2</v>
      </c>
      <c r="E203" s="2" t="str">
        <f>IFERROR(__xludf.DUMMYFUNCTION("""COMPUTED_VALUE"""),"Class Preparation")</f>
        <v>Class Preparation</v>
      </c>
      <c r="F203" s="2" t="str">
        <f>IFERROR(__xludf.DUMMYFUNCTION("""COMPUTED_VALUE"""),"challenge")</f>
        <v>challenge</v>
      </c>
      <c r="G203" s="3" t="str">
        <f>IFERROR(__xludf.DUMMYFUNCTION("""COMPUTED_VALUE"""),"I think that that's one of the course that costed me the most in terms of, uh, frustrating time I've spent, uh, debugging lab sessions, ")</f>
        <v>I think that that's one of the course that costed me the most in terms of, uh, frustrating time I've spent, uh, debugging lab sessions, </v>
      </c>
      <c r="H203" s="3" t="str">
        <f>IFERROR(__xludf.DUMMYFUNCTION("""COMPUTED_VALUE"""),"Debugging lab sessions are frustating.")</f>
        <v>Debugging lab sessions are frustating.</v>
      </c>
      <c r="I203" s="2" t="s">
        <v>1247</v>
      </c>
    </row>
    <row r="204">
      <c r="A204" s="50" t="s">
        <v>3149</v>
      </c>
      <c r="B204" s="2">
        <f>IFERROR(__xludf.DUMMYFUNCTION("""COMPUTED_VALUE"""),14.0)</f>
        <v>14</v>
      </c>
      <c r="C204" s="2">
        <f>IFERROR(__xludf.DUMMYFUNCTION("""COMPUTED_VALUE"""),17.0)</f>
        <v>17</v>
      </c>
      <c r="D204" s="2" t="str">
        <f>IFERROR(__xludf.DUMMYFUNCTION("""COMPUTED_VALUE"""),"R2 / R3")</f>
        <v>R2 / R3</v>
      </c>
      <c r="E204" s="2" t="str">
        <f>IFERROR(__xludf.DUMMYFUNCTION("""COMPUTED_VALUE"""),"Class Preparation")</f>
        <v>Class Preparation</v>
      </c>
      <c r="F204" s="2" t="str">
        <f>IFERROR(__xludf.DUMMYFUNCTION("""COMPUTED_VALUE"""),"challenge")</f>
        <v>challenge</v>
      </c>
      <c r="G204" s="3" t="str">
        <f>IFERROR(__xludf.DUMMYFUNCTION("""COMPUTED_VALUE"""),"So keeping things up to date and making things work like really working in, in, in being able to run the labs, not in panic mode, that everything was fragile and everything was able to collapse at any point was really stressful. And of course, a lot of th"&amp;"ings, I think it costs me like twice or three times the cost of preparing a regular course.")</f>
        <v>So keeping things up to date and making things work like really working in, in, in being able to run the labs, not in panic mode, that everything was fragile and everything was able to collapse at any point was really stressful. And of course, a lot of things, I think it costs me like twice or three times the cost of preparing a regular course.</v>
      </c>
      <c r="H204" s="3" t="str">
        <f>IFERROR(__xludf.DUMMYFUNCTION("""COMPUTED_VALUE"""),"Keeping things up to date and making things working the labs is really stressful and time costing.")</f>
        <v>Keeping things up to date and making things working the labs is really stressful and time costing.</v>
      </c>
      <c r="I204" s="2" t="s">
        <v>1931</v>
      </c>
    </row>
    <row r="205">
      <c r="A205" s="50" t="s">
        <v>3150</v>
      </c>
      <c r="B205" s="2">
        <f>IFERROR(__xludf.DUMMYFUNCTION("""COMPUTED_VALUE"""),14.0)</f>
        <v>14</v>
      </c>
      <c r="C205" s="2">
        <f>IFERROR(__xludf.DUMMYFUNCTION("""COMPUTED_VALUE"""),19.0)</f>
        <v>19</v>
      </c>
      <c r="D205" s="2" t="str">
        <f>IFERROR(__xludf.DUMMYFUNCTION("""COMPUTED_VALUE"""),"R1 / R3")</f>
        <v>R1 / R3</v>
      </c>
      <c r="E205" s="2" t="str">
        <f>IFERROR(__xludf.DUMMYFUNCTION("""COMPUTED_VALUE"""),"Pedagogy")</f>
        <v>Pedagogy</v>
      </c>
      <c r="F205" s="2" t="str">
        <f>IFERROR(__xludf.DUMMYFUNCTION("""COMPUTED_VALUE"""),"challenge")</f>
        <v>challenge</v>
      </c>
      <c r="G205" s="3" t="str">
        <f>IFERROR(__xludf.DUMMYFUNCTION("""COMPUTED_VALUE"""),"So it was lectures and labs and like a small project, but it was wasn't really satisfactory.")</f>
        <v>So it was lectures and labs and like a small project, but it was wasn't really satisfactory.</v>
      </c>
      <c r="H205" s="3" t="str">
        <f>IFERROR(__xludf.DUMMYFUNCTION("""COMPUTED_VALUE"""),"Small project wasn't really satisfactory.")</f>
        <v>Small project wasn't really satisfactory.</v>
      </c>
      <c r="I205" s="2" t="s">
        <v>880</v>
      </c>
    </row>
    <row r="206">
      <c r="A206" s="50" t="s">
        <v>3151</v>
      </c>
      <c r="B206" s="2">
        <f>IFERROR(__xludf.DUMMYFUNCTION("""COMPUTED_VALUE"""),14.0)</f>
        <v>14</v>
      </c>
      <c r="C206" s="2">
        <f>IFERROR(__xludf.DUMMYFUNCTION("""COMPUTED_VALUE"""),23.0)</f>
        <v>23</v>
      </c>
      <c r="D206" s="2" t="str">
        <f>IFERROR(__xludf.DUMMYFUNCTION("""COMPUTED_VALUE"""),"R1 / R3")</f>
        <v>R1 / R3</v>
      </c>
      <c r="E206" s="2" t="str">
        <f>IFERROR(__xludf.DUMMYFUNCTION("""COMPUTED_VALUE"""),"Assessment")</f>
        <v>Assessment</v>
      </c>
      <c r="F206" s="2" t="str">
        <f>IFERROR(__xludf.DUMMYFUNCTION("""COMPUTED_VALUE"""),"challenge")</f>
        <v>challenge</v>
      </c>
      <c r="G206" s="3" t="str">
        <f>IFERROR(__xludf.DUMMYFUNCTION("""COMPUTED_VALUE"""),"he grade scale was half description, half justification, and that's helped a lot, but it's always, um, qualitative in this way. It's, it's, it's really difficult to be quantitative and to have this, uh, uh, grade scale that is by the, uh, by the point. ")</f>
        <v>he grade scale was half description, half justification, and that's helped a lot, but it's always, um, qualitative in this way. It's, it's, it's really difficult to be quantitative and to have this, uh, uh, grade scale that is by the, uh, by the point. </v>
      </c>
      <c r="H206" s="3" t="str">
        <f>IFERROR(__xludf.DUMMYFUNCTION("""COMPUTED_VALUE"""),"It is really difficult to quantitative grade scale on the description and the justification of case studies.")</f>
        <v>It is really difficult to quantitative grade scale on the description and the justification of case studies.</v>
      </c>
      <c r="I206" s="2" t="s">
        <v>3152</v>
      </c>
    </row>
    <row r="207">
      <c r="A207" s="50" t="s">
        <v>3153</v>
      </c>
      <c r="B207" s="2">
        <f>IFERROR(__xludf.DUMMYFUNCTION("""COMPUTED_VALUE"""),14.0)</f>
        <v>14</v>
      </c>
      <c r="C207" s="2">
        <f>IFERROR(__xludf.DUMMYFUNCTION("""COMPUTED_VALUE"""),25.0)</f>
        <v>25</v>
      </c>
      <c r="D207" s="2" t="str">
        <f>IFERROR(__xludf.DUMMYFUNCTION("""COMPUTED_VALUE"""),"R1 / R3")</f>
        <v>R1 / R3</v>
      </c>
      <c r="E207" s="2" t="str">
        <f>IFERROR(__xludf.DUMMYFUNCTION("""COMPUTED_VALUE"""),"Other Challenge and Recommendation")</f>
        <v>Other Challenge and Recommendation</v>
      </c>
      <c r="F207" s="2" t="str">
        <f>IFERROR(__xludf.DUMMYFUNCTION("""COMPUTED_VALUE"""),"challenge")</f>
        <v>challenge</v>
      </c>
      <c r="G207" s="3" t="str">
        <f>IFERROR(__xludf.DUMMYFUNCTION("""COMPUTED_VALUE"""),"an undergrad program, it's also something complicated because it's teaching at the undergrad program might make sense, but then it's other kinds of challenges like younger students who might not be interested in this")</f>
        <v>an undergrad program, it's also something complicated because it's teaching at the undergrad program might make sense, but then it's other kinds of challenges like younger students who might not be interested in this</v>
      </c>
      <c r="H207" s="3" t="str">
        <f>IFERROR(__xludf.DUMMYFUNCTION("""COMPUTED_VALUE"""),"Undergraduate students can have no interest in DevOps.")</f>
        <v>Undergraduate students can have no interest in DevOps.</v>
      </c>
      <c r="I207" s="2" t="s">
        <v>3154</v>
      </c>
    </row>
    <row r="208">
      <c r="A208" s="50" t="s">
        <v>3155</v>
      </c>
      <c r="B208" s="2">
        <f>IFERROR(__xludf.DUMMYFUNCTION("""COMPUTED_VALUE"""),14.0)</f>
        <v>14</v>
      </c>
      <c r="C208" s="2">
        <f>IFERROR(__xludf.DUMMYFUNCTION("""COMPUTED_VALUE"""),25.0)</f>
        <v>25</v>
      </c>
      <c r="D208" s="2" t="str">
        <f>IFERROR(__xludf.DUMMYFUNCTION("""COMPUTED_VALUE"""),"R1 / R3")</f>
        <v>R1 / R3</v>
      </c>
      <c r="E208" s="2" t="str">
        <f>IFERROR(__xludf.DUMMYFUNCTION("""COMPUTED_VALUE"""),"Other Challenge and Recommendation")</f>
        <v>Other Challenge and Recommendation</v>
      </c>
      <c r="F208" s="2" t="str">
        <f>IFERROR(__xludf.DUMMYFUNCTION("""COMPUTED_VALUE"""),"challenge")</f>
        <v>challenge</v>
      </c>
      <c r="G208" s="3" t="str">
        <f>IFERROR(__xludf.DUMMYFUNCTION("""COMPUTED_VALUE"""),"Like, do you have to go through this course to if you're doing a master or a bachelor in software engineering, is it mandatory to go through DevOps or is it like an option that an optional path that you're following is this kind of, uh, there is no consen"&amp;"sus on, on those kinds of, um, uh, things.")</f>
        <v>Like, do you have to go through this course to if you're doing a master or a bachelor in software engineering, is it mandatory to go through DevOps or is it like an option that an optional path that you're following is this kind of, uh, there is no consensus on, on those kinds of, um, uh, things.</v>
      </c>
      <c r="H208" s="3" t="str">
        <f>IFERROR(__xludf.DUMMYFUNCTION("""COMPUTED_VALUE"""),"There is no consensus if DevOps course should be mandatory or optional.")</f>
        <v>There is no consensus if DevOps course should be mandatory or optional.</v>
      </c>
      <c r="I208" s="2" t="s">
        <v>890</v>
      </c>
    </row>
    <row r="209">
      <c r="A209" s="50" t="s">
        <v>3156</v>
      </c>
      <c r="B209" s="2">
        <f>IFERROR(__xludf.DUMMYFUNCTION("""COMPUTED_VALUE"""),14.0)</f>
        <v>14</v>
      </c>
      <c r="C209" s="2">
        <f>IFERROR(__xludf.DUMMYFUNCTION("""COMPUTED_VALUE"""),26.0)</f>
        <v>26</v>
      </c>
      <c r="D209" s="2" t="str">
        <f>IFERROR(__xludf.DUMMYFUNCTION("""COMPUTED_VALUE"""),"R1 / R2")</f>
        <v>R1 / R2</v>
      </c>
      <c r="E209" s="2" t="str">
        <f>IFERROR(__xludf.DUMMYFUNCTION("""COMPUTED_VALUE"""),"Other Challenge and Recommendation")</f>
        <v>Other Challenge and Recommendation</v>
      </c>
      <c r="F209" s="2" t="str">
        <f>IFERROR(__xludf.DUMMYFUNCTION("""COMPUTED_VALUE"""),"challenge")</f>
        <v>challenge</v>
      </c>
      <c r="G209" s="3" t="str">
        <f>IFERROR(__xludf.DUMMYFUNCTION("""COMPUTED_VALUE""")," if you want to teach devops, it's really difficult to find, uh, supports, like finding a way to understand how it's towards elsewhere. It's really complicated because there's not a lot, of course that grant themselves as DevOps, basically because it's of"&amp;"ten hidden because it's something technical you're not supposed to teach. ")</f>
        <v> if you want to teach devops, it's really difficult to find, uh, supports, like finding a way to understand how it's towards elsewhere. It's really complicated because there's not a lot, of course that grant themselves as DevOps, basically because it's often hidden because it's something technical you're not supposed to teach. </v>
      </c>
      <c r="H209" s="3" t="str">
        <f>IFERROR(__xludf.DUMMYFUNCTION("""COMPUTED_VALUE"""),"It's really difficult to find supports if you want to teach DevOps.")</f>
        <v>It's really difficult to find supports if you want to teach DevOps.</v>
      </c>
      <c r="I209" s="2" t="s">
        <v>3157</v>
      </c>
    </row>
  </sheetData>
  <printOptions gridLines="1" horizontalCentered="1"/>
  <pageMargins bottom="0.75" footer="0.0" header="0.0" left="0.7" right="0.7" top="0.75"/>
  <pageSetup fitToHeight="0" paperSize="9" cellComments="atEnd" orientation="landscape" pageOrder="overThenDown"/>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15.57"/>
    <col customWidth="1" min="2" max="2" width="10.57"/>
    <col customWidth="1" min="3" max="3" width="16.14"/>
    <col customWidth="1" min="4" max="4" width="23.57"/>
    <col customWidth="1" min="5" max="5" width="105.0"/>
    <col customWidth="1" min="6" max="6" width="80.71"/>
    <col customWidth="1" min="7" max="7" width="40.57"/>
    <col customWidth="1" min="8" max="8" width="42.57"/>
    <col customWidth="1" hidden="1" min="9" max="9" width="16.14"/>
    <col customWidth="1" min="10" max="11" width="18.14"/>
    <col customWidth="1" min="12" max="12" width="14.71"/>
    <col customWidth="1" min="13" max="13" width="17.43"/>
    <col customWidth="1" min="14" max="15" width="14.43"/>
    <col customWidth="1" min="16" max="17" width="12.71"/>
    <col customWidth="1" min="18" max="18" width="17.43"/>
    <col customWidth="1" min="19" max="19" width="43.0"/>
  </cols>
  <sheetData>
    <row r="1">
      <c r="A1" s="47" t="s">
        <v>3158</v>
      </c>
      <c r="B1" s="1" t="s">
        <v>3159</v>
      </c>
      <c r="C1" s="1" t="s">
        <v>3160</v>
      </c>
      <c r="D1" s="1" t="s">
        <v>3</v>
      </c>
      <c r="E1" s="52" t="s">
        <v>3161</v>
      </c>
      <c r="F1" s="1" t="s">
        <v>3162</v>
      </c>
      <c r="G1" s="1" t="s">
        <v>3163</v>
      </c>
      <c r="H1" s="53" t="s">
        <v>3164</v>
      </c>
      <c r="I1" s="53" t="s">
        <v>3165</v>
      </c>
      <c r="J1" s="53" t="s">
        <v>3166</v>
      </c>
      <c r="K1" s="53" t="s">
        <v>3167</v>
      </c>
      <c r="L1" s="53" t="s">
        <v>3168</v>
      </c>
      <c r="M1" s="53" t="s">
        <v>3169</v>
      </c>
      <c r="N1" s="53" t="s">
        <v>3170</v>
      </c>
      <c r="O1" s="53" t="s">
        <v>3171</v>
      </c>
      <c r="P1" s="53" t="s">
        <v>3172</v>
      </c>
      <c r="Q1" s="53" t="s">
        <v>3173</v>
      </c>
      <c r="R1" s="53" t="s">
        <v>3174</v>
      </c>
      <c r="S1" s="32" t="s">
        <v>3175</v>
      </c>
    </row>
    <row r="2">
      <c r="A2" s="54" t="s">
        <v>2792</v>
      </c>
      <c r="B2" s="55">
        <v>1.0</v>
      </c>
      <c r="C2" s="56" t="s">
        <v>3176</v>
      </c>
      <c r="D2" s="55" t="s">
        <v>8</v>
      </c>
      <c r="E2" s="2" t="s">
        <v>3177</v>
      </c>
      <c r="F2" s="55" t="s">
        <v>3178</v>
      </c>
      <c r="G2" s="55" t="s">
        <v>1969</v>
      </c>
      <c r="H2" s="54" t="str">
        <f t="shared" ref="H2:H84" si="1">"(" &amp; LEFT(I2, LEN(I2)-1) &amp; ")"</f>
        <v>(P1,P4,P5,P8,P9)</v>
      </c>
      <c r="I2" s="54" t="str">
        <f>IFERROR(__xludf.DUMMYFUNCTION("concatenate(ARRAYFORMULA(""P"" &amp; SPLIT(J2, "","") &amp; "",""))"),"P1,P4,P5,P8,P9,")</f>
        <v>P1,P4,P5,P8,P9,</v>
      </c>
      <c r="J2" s="54" t="str">
        <f>IFERROR(__xludf.DUMMYFUNCTION("ArrayFormula(textjoin("", "",true,unique(trim(split(M2,"","")),true)))"),"1, 4, 5, 8, 9")</f>
        <v>1, 4, 5, 8, 9</v>
      </c>
      <c r="K2" s="54" t="s">
        <v>3179</v>
      </c>
      <c r="L2" s="54" t="s">
        <v>3180</v>
      </c>
      <c r="M2" s="54" t="str">
        <f t="shared" ref="M2:M84" si="2">if(ISBLANK(K2),C2,concatenate(C2,", ",K2))</f>
        <v>01, 04, 05, 08, 09</v>
      </c>
      <c r="N2" s="54">
        <f>IFERROR(__xludf.DUMMYFUNCTION("countunique(split(M2, "", ""))"),5.0)</f>
        <v>5</v>
      </c>
      <c r="O2" s="54">
        <f>IFERROR(__xludf.DUMMYFUNCTION("countif(split(K2,"",""),C2)"),0.0)</f>
        <v>0</v>
      </c>
      <c r="P2" s="55" t="b">
        <f>IFERROR(__xludf.DUMMYFUNCTION("MIN(split(J2,"",""))&lt;=7"),TRUE)</f>
        <v>1</v>
      </c>
      <c r="Q2" s="55" t="b">
        <f>IFERROR(__xludf.DUMMYFUNCTION("max(split(J2,"",""))&gt;=8"),TRUE)</f>
        <v>1</v>
      </c>
      <c r="R2" s="55" t="b">
        <f t="shared" ref="R2:R84" si="3">and(P2,Q2)</f>
        <v>1</v>
      </c>
      <c r="S2" s="55"/>
    </row>
    <row r="3">
      <c r="A3" s="54" t="s">
        <v>2794</v>
      </c>
      <c r="B3" s="55">
        <v>2.0</v>
      </c>
      <c r="C3" s="56" t="s">
        <v>3176</v>
      </c>
      <c r="D3" s="55" t="s">
        <v>8</v>
      </c>
      <c r="E3" s="2" t="s">
        <v>3181</v>
      </c>
      <c r="F3" s="55" t="s">
        <v>3182</v>
      </c>
      <c r="G3" s="55" t="s">
        <v>3183</v>
      </c>
      <c r="H3" s="54" t="str">
        <f t="shared" si="1"/>
        <v>(P1,P7,P14)</v>
      </c>
      <c r="I3" s="54" t="str">
        <f>IFERROR(__xludf.DUMMYFUNCTION("concatenate(ARRAYFORMULA(""P"" &amp; SPLIT(J3, "","") &amp; "",""))"),"P1,P7,P14,")</f>
        <v>P1,P7,P14,</v>
      </c>
      <c r="J3" s="54" t="str">
        <f>IFERROR(__xludf.DUMMYFUNCTION("ArrayFormula(textjoin("", "",true,unique(trim(split(M3,"","")),true)))"),"1, 7, 14")</f>
        <v>1, 7, 14</v>
      </c>
      <c r="K3" s="54" t="s">
        <v>3184</v>
      </c>
      <c r="L3" s="54" t="s">
        <v>3185</v>
      </c>
      <c r="M3" s="54" t="str">
        <f t="shared" si="2"/>
        <v>01, 01, 07, 14</v>
      </c>
      <c r="N3" s="54">
        <f>IFERROR(__xludf.DUMMYFUNCTION("countunique(split(M3, "", ""))"),3.0)</f>
        <v>3</v>
      </c>
      <c r="O3" s="54">
        <f>IFERROR(__xludf.DUMMYFUNCTION("countif(split(K3,"",""),C3)"),1.0)</f>
        <v>1</v>
      </c>
      <c r="P3" s="55" t="b">
        <f>IFERROR(__xludf.DUMMYFUNCTION("MIN(split(J3,"",""))&lt;=7"),TRUE)</f>
        <v>1</v>
      </c>
      <c r="Q3" s="55" t="b">
        <f>IFERROR(__xludf.DUMMYFUNCTION("max(split(J3,"",""))&gt;=8"),TRUE)</f>
        <v>1</v>
      </c>
      <c r="R3" s="55" t="b">
        <f t="shared" si="3"/>
        <v>1</v>
      </c>
      <c r="S3" s="55"/>
    </row>
    <row r="4">
      <c r="A4" s="54" t="s">
        <v>2796</v>
      </c>
      <c r="B4" s="55">
        <v>3.0</v>
      </c>
      <c r="C4" s="55" t="s">
        <v>3176</v>
      </c>
      <c r="D4" s="55" t="s">
        <v>8</v>
      </c>
      <c r="E4" s="2" t="s">
        <v>3186</v>
      </c>
      <c r="F4" s="55" t="s">
        <v>3187</v>
      </c>
      <c r="G4" s="55" t="s">
        <v>3188</v>
      </c>
      <c r="H4" s="54" t="str">
        <f t="shared" si="1"/>
        <v>(P1,P4,P10)</v>
      </c>
      <c r="I4" s="54" t="str">
        <f>IFERROR(__xludf.DUMMYFUNCTION("concatenate(ARRAYFORMULA(""P"" &amp; SPLIT(J4, "","") &amp; "",""))"),"P1,P4,P10,")</f>
        <v>P1,P4,P10,</v>
      </c>
      <c r="J4" s="54" t="str">
        <f>IFERROR(__xludf.DUMMYFUNCTION("ArrayFormula(textjoin("", "",true,unique(trim(split(M4,"","")),true)))"),"1, 4, 10")</f>
        <v>1, 4, 10</v>
      </c>
      <c r="K4" s="54" t="s">
        <v>3189</v>
      </c>
      <c r="L4" s="54" t="s">
        <v>3190</v>
      </c>
      <c r="M4" s="54" t="str">
        <f t="shared" si="2"/>
        <v>01, 01, 04, 04, 10</v>
      </c>
      <c r="N4" s="54">
        <f>IFERROR(__xludf.DUMMYFUNCTION("countunique(split(M4, "", ""))"),3.0)</f>
        <v>3</v>
      </c>
      <c r="O4" s="54">
        <f>IFERROR(__xludf.DUMMYFUNCTION("countif(split(K4,"",""),C4)"),1.0)</f>
        <v>1</v>
      </c>
      <c r="P4" s="55" t="b">
        <f>IFERROR(__xludf.DUMMYFUNCTION("MIN(split(J4,"",""))&lt;=7"),TRUE)</f>
        <v>1</v>
      </c>
      <c r="Q4" s="55" t="b">
        <f>IFERROR(__xludf.DUMMYFUNCTION("max(split(J4,"",""))&gt;=8"),TRUE)</f>
        <v>1</v>
      </c>
      <c r="R4" s="55" t="b">
        <f t="shared" si="3"/>
        <v>1</v>
      </c>
      <c r="S4" s="55"/>
    </row>
    <row r="5">
      <c r="A5" s="54" t="s">
        <v>2800</v>
      </c>
      <c r="B5" s="55">
        <v>4.0</v>
      </c>
      <c r="C5" s="55" t="s">
        <v>3176</v>
      </c>
      <c r="D5" s="55" t="s">
        <v>8</v>
      </c>
      <c r="E5" s="2" t="s">
        <v>3191</v>
      </c>
      <c r="F5" s="57" t="s">
        <v>3192</v>
      </c>
      <c r="G5" s="55" t="s">
        <v>3193</v>
      </c>
      <c r="H5" s="54" t="str">
        <f t="shared" si="1"/>
        <v>(P1,P5,P14)</v>
      </c>
      <c r="I5" s="54" t="str">
        <f>IFERROR(__xludf.DUMMYFUNCTION("concatenate(ARRAYFORMULA(""P"" &amp; SPLIT(J5, "","") &amp; "",""))"),"P1,P5,P14,")</f>
        <v>P1,P5,P14,</v>
      </c>
      <c r="J5" s="54" t="str">
        <f>IFERROR(__xludf.DUMMYFUNCTION("ArrayFormula(textjoin("", "",true,unique(trim(split(M5,"","")),true)))"),"1, 5, 14")</f>
        <v>1, 5, 14</v>
      </c>
      <c r="K5" s="54" t="s">
        <v>3194</v>
      </c>
      <c r="L5" s="54" t="s">
        <v>3195</v>
      </c>
      <c r="M5" s="54" t="str">
        <f t="shared" si="2"/>
        <v>01, 01, 05, 14</v>
      </c>
      <c r="N5" s="54">
        <f>IFERROR(__xludf.DUMMYFUNCTION("countunique(split(M5, "", ""))"),3.0)</f>
        <v>3</v>
      </c>
      <c r="O5" s="54">
        <f>IFERROR(__xludf.DUMMYFUNCTION("countif(split(K5,"",""),C5)"),1.0)</f>
        <v>1</v>
      </c>
      <c r="P5" s="55" t="b">
        <f>IFERROR(__xludf.DUMMYFUNCTION("MIN(split(J5,"",""))&lt;=7"),TRUE)</f>
        <v>1</v>
      </c>
      <c r="Q5" s="55" t="b">
        <f>IFERROR(__xludf.DUMMYFUNCTION("max(split(J5,"",""))&gt;=8"),TRUE)</f>
        <v>1</v>
      </c>
      <c r="R5" s="55" t="b">
        <f t="shared" si="3"/>
        <v>1</v>
      </c>
      <c r="S5" s="58"/>
    </row>
    <row r="6">
      <c r="A6" s="54" t="s">
        <v>2804</v>
      </c>
      <c r="B6" s="55">
        <v>6.0</v>
      </c>
      <c r="C6" s="55" t="s">
        <v>3176</v>
      </c>
      <c r="D6" s="55" t="s">
        <v>8</v>
      </c>
      <c r="E6" s="2" t="s">
        <v>3196</v>
      </c>
      <c r="F6" s="59" t="s">
        <v>3197</v>
      </c>
      <c r="G6" s="59" t="s">
        <v>3198</v>
      </c>
      <c r="H6" s="54" t="str">
        <f t="shared" si="1"/>
        <v>(P1,P9,P10)</v>
      </c>
      <c r="I6" s="54" t="str">
        <f>IFERROR(__xludf.DUMMYFUNCTION("concatenate(ARRAYFORMULA(""P"" &amp; SPLIT(J6, "","") &amp; "",""))"),"P1,P9,P10,")</f>
        <v>P1,P9,P10,</v>
      </c>
      <c r="J6" s="54" t="str">
        <f>IFERROR(__xludf.DUMMYFUNCTION("ArrayFormula(textjoin("", "",true,unique(trim(split(M6,"","")),true)))"),"1, 9, 10")</f>
        <v>1, 9, 10</v>
      </c>
      <c r="K6" s="54" t="s">
        <v>3199</v>
      </c>
      <c r="L6" s="54" t="s">
        <v>3200</v>
      </c>
      <c r="M6" s="54" t="str">
        <f t="shared" si="2"/>
        <v>01, 09, 10</v>
      </c>
      <c r="N6" s="54">
        <f>IFERROR(__xludf.DUMMYFUNCTION("countunique(split(M6, "", ""))"),3.0)</f>
        <v>3</v>
      </c>
      <c r="O6" s="54">
        <f>IFERROR(__xludf.DUMMYFUNCTION("countif(split(K6,"",""),C6)"),0.0)</f>
        <v>0</v>
      </c>
      <c r="P6" s="55" t="b">
        <f>IFERROR(__xludf.DUMMYFUNCTION("MIN(split(J6,"",""))&lt;=7"),TRUE)</f>
        <v>1</v>
      </c>
      <c r="Q6" s="55" t="b">
        <f>IFERROR(__xludf.DUMMYFUNCTION("max(split(J6,"",""))&gt;=8"),TRUE)</f>
        <v>1</v>
      </c>
      <c r="R6" s="55" t="b">
        <f t="shared" si="3"/>
        <v>1</v>
      </c>
      <c r="S6" s="59"/>
    </row>
    <row r="7">
      <c r="A7" s="54" t="s">
        <v>2806</v>
      </c>
      <c r="B7" s="55">
        <v>7.0</v>
      </c>
      <c r="C7" s="55" t="s">
        <v>3176</v>
      </c>
      <c r="D7" s="55" t="s">
        <v>8</v>
      </c>
      <c r="E7" s="2" t="s">
        <v>2807</v>
      </c>
      <c r="F7" s="55" t="s">
        <v>1992</v>
      </c>
      <c r="G7" s="55"/>
      <c r="H7" s="54" t="str">
        <f t="shared" si="1"/>
        <v>(P1)</v>
      </c>
      <c r="I7" s="54" t="str">
        <f>IFERROR(__xludf.DUMMYFUNCTION("concatenate(ARRAYFORMULA(""P"" &amp; SPLIT(J7, "","") &amp; "",""))"),"P1,")</f>
        <v>P1,</v>
      </c>
      <c r="J7" s="54" t="str">
        <f>IFERROR(__xludf.DUMMYFUNCTION("ArrayFormula(textjoin("", "",true,unique(trim(split(M7,"","")),true)))"),"1")</f>
        <v>1</v>
      </c>
      <c r="K7" s="54"/>
      <c r="L7" s="54"/>
      <c r="M7" s="54" t="str">
        <f t="shared" si="2"/>
        <v>01</v>
      </c>
      <c r="N7" s="54">
        <f>IFERROR(__xludf.DUMMYFUNCTION("countunique(split(M7, "", ""))"),1.0)</f>
        <v>1</v>
      </c>
      <c r="O7" s="54">
        <f>IFERROR(__xludf.DUMMYFUNCTION("countif(split(K7,"",""),C7)"),0.0)</f>
        <v>0</v>
      </c>
      <c r="P7" s="55" t="b">
        <f>IFERROR(__xludf.DUMMYFUNCTION("MIN(split(J7,"",""))&lt;=7"),TRUE)</f>
        <v>1</v>
      </c>
      <c r="Q7" s="55" t="b">
        <f>IFERROR(__xludf.DUMMYFUNCTION("max(split(J7,"",""))&gt;=8"),FALSE)</f>
        <v>0</v>
      </c>
      <c r="R7" s="55" t="b">
        <f t="shared" si="3"/>
        <v>0</v>
      </c>
      <c r="S7" s="60" t="s">
        <v>3201</v>
      </c>
    </row>
    <row r="8">
      <c r="A8" s="54" t="s">
        <v>2808</v>
      </c>
      <c r="B8" s="55">
        <v>8.0</v>
      </c>
      <c r="C8" s="55" t="s">
        <v>3176</v>
      </c>
      <c r="D8" s="55" t="s">
        <v>8</v>
      </c>
      <c r="E8" s="2" t="s">
        <v>3202</v>
      </c>
      <c r="F8" s="55" t="s">
        <v>3203</v>
      </c>
      <c r="G8" s="55" t="s">
        <v>3204</v>
      </c>
      <c r="H8" s="54" t="str">
        <f t="shared" si="1"/>
        <v>(P1,P3,P5,P6,P8,P9,P10,P11)</v>
      </c>
      <c r="I8" s="54" t="str">
        <f>IFERROR(__xludf.DUMMYFUNCTION("concatenate(ARRAYFORMULA(""P"" &amp; SPLIT(J8, "","") &amp; "",""))"),"P1,P3,P5,P6,P8,P9,P10,P11,")</f>
        <v>P1,P3,P5,P6,P8,P9,P10,P11,</v>
      </c>
      <c r="J8" s="54" t="str">
        <f>IFERROR(__xludf.DUMMYFUNCTION("ArrayFormula(textjoin("", "",true,unique(trim(split(M8,"","")),true)))"),"1, 3, 5, 6, 8, 9, 10, 11")</f>
        <v>1, 3, 5, 6, 8, 9, 10, 11</v>
      </c>
      <c r="K8" s="54" t="s">
        <v>3205</v>
      </c>
      <c r="L8" s="54" t="s">
        <v>3206</v>
      </c>
      <c r="M8" s="54" t="str">
        <f t="shared" si="2"/>
        <v>01, 01, 03, 05, 06, 08, 08, 09, 09, 10, 11</v>
      </c>
      <c r="N8" s="54">
        <f>IFERROR(__xludf.DUMMYFUNCTION("countunique(split(M8, "", ""))"),8.0)</f>
        <v>8</v>
      </c>
      <c r="O8" s="54">
        <f>IFERROR(__xludf.DUMMYFUNCTION("countif(split(K8,"",""),C8)"),1.0)</f>
        <v>1</v>
      </c>
      <c r="P8" s="55" t="b">
        <f>IFERROR(__xludf.DUMMYFUNCTION("MIN(split(J8,"",""))&lt;=7"),TRUE)</f>
        <v>1</v>
      </c>
      <c r="Q8" s="55" t="b">
        <f>IFERROR(__xludf.DUMMYFUNCTION("max(split(J8,"",""))&gt;=8"),TRUE)</f>
        <v>1</v>
      </c>
      <c r="R8" s="55" t="b">
        <f t="shared" si="3"/>
        <v>1</v>
      </c>
      <c r="S8" s="55"/>
    </row>
    <row r="9">
      <c r="A9" s="54" t="s">
        <v>2812</v>
      </c>
      <c r="B9" s="55">
        <v>9.0</v>
      </c>
      <c r="C9" s="55" t="s">
        <v>3176</v>
      </c>
      <c r="D9" s="55" t="s">
        <v>8</v>
      </c>
      <c r="E9" s="2" t="s">
        <v>3207</v>
      </c>
      <c r="F9" s="55" t="s">
        <v>3208</v>
      </c>
      <c r="G9" s="55" t="s">
        <v>3209</v>
      </c>
      <c r="H9" s="54" t="str">
        <f t="shared" si="1"/>
        <v>(P1,P9,P10)</v>
      </c>
      <c r="I9" s="54" t="str">
        <f>IFERROR(__xludf.DUMMYFUNCTION("concatenate(ARRAYFORMULA(""P"" &amp; SPLIT(J9, "","") &amp; "",""))"),"P1,P9,P10,")</f>
        <v>P1,P9,P10,</v>
      </c>
      <c r="J9" s="54" t="str">
        <f>IFERROR(__xludf.DUMMYFUNCTION("ArrayFormula(textjoin("", "",true,unique(trim(split(M9,"","")),true)))"),"1, 9, 10")</f>
        <v>1, 9, 10</v>
      </c>
      <c r="K9" s="54" t="s">
        <v>3210</v>
      </c>
      <c r="L9" s="54" t="s">
        <v>3211</v>
      </c>
      <c r="M9" s="54" t="str">
        <f t="shared" si="2"/>
        <v>01, 09, 10, 10</v>
      </c>
      <c r="N9" s="54">
        <f>IFERROR(__xludf.DUMMYFUNCTION("countunique(split(M9, "", ""))"),3.0)</f>
        <v>3</v>
      </c>
      <c r="O9" s="54">
        <f>IFERROR(__xludf.DUMMYFUNCTION("countif(split(K9,"",""),C9)"),0.0)</f>
        <v>0</v>
      </c>
      <c r="P9" s="55" t="b">
        <f>IFERROR(__xludf.DUMMYFUNCTION("MIN(split(J9,"",""))&lt;=7"),TRUE)</f>
        <v>1</v>
      </c>
      <c r="Q9" s="55" t="b">
        <f>IFERROR(__xludf.DUMMYFUNCTION("max(split(J9,"",""))&gt;=8"),TRUE)</f>
        <v>1</v>
      </c>
      <c r="R9" s="55" t="b">
        <f t="shared" si="3"/>
        <v>1</v>
      </c>
      <c r="S9" s="55"/>
    </row>
    <row r="10">
      <c r="A10" s="54" t="s">
        <v>2814</v>
      </c>
      <c r="B10" s="55">
        <v>10.0</v>
      </c>
      <c r="C10" s="55" t="s">
        <v>3176</v>
      </c>
      <c r="D10" s="55" t="s">
        <v>8</v>
      </c>
      <c r="E10" s="61" t="s">
        <v>3212</v>
      </c>
      <c r="F10" s="55" t="s">
        <v>2005</v>
      </c>
      <c r="G10" s="55"/>
      <c r="H10" s="54" t="str">
        <f t="shared" si="1"/>
        <v>(P1)</v>
      </c>
      <c r="I10" s="54" t="str">
        <f>IFERROR(__xludf.DUMMYFUNCTION("concatenate(ARRAYFORMULA(""P"" &amp; SPLIT(J10, "","") &amp; "",""))"),"P1,")</f>
        <v>P1,</v>
      </c>
      <c r="J10" s="54" t="str">
        <f>IFERROR(__xludf.DUMMYFUNCTION("ArrayFormula(textjoin("", "",true,unique(trim(split(M10,"","")),true)))"),"1")</f>
        <v>1</v>
      </c>
      <c r="K10" s="54"/>
      <c r="L10" s="54"/>
      <c r="M10" s="54" t="str">
        <f t="shared" si="2"/>
        <v>01</v>
      </c>
      <c r="N10" s="54">
        <f>IFERROR(__xludf.DUMMYFUNCTION("countunique(split(M10, "", ""))"),1.0)</f>
        <v>1</v>
      </c>
      <c r="O10" s="54">
        <f>IFERROR(__xludf.DUMMYFUNCTION("countif(split(K10,"",""),C10)"),0.0)</f>
        <v>0</v>
      </c>
      <c r="P10" s="55" t="b">
        <f>IFERROR(__xludf.DUMMYFUNCTION("MIN(split(J10,"",""))&lt;=7"),TRUE)</f>
        <v>1</v>
      </c>
      <c r="Q10" s="55" t="b">
        <f>IFERROR(__xludf.DUMMYFUNCTION("max(split(J10,"",""))&gt;=8"),FALSE)</f>
        <v>0</v>
      </c>
      <c r="R10" s="55" t="b">
        <f t="shared" si="3"/>
        <v>0</v>
      </c>
      <c r="S10" s="60" t="s">
        <v>3213</v>
      </c>
    </row>
    <row r="11">
      <c r="A11" s="54" t="s">
        <v>2816</v>
      </c>
      <c r="B11" s="55">
        <v>11.0</v>
      </c>
      <c r="C11" s="55" t="s">
        <v>3176</v>
      </c>
      <c r="D11" s="55" t="s">
        <v>8</v>
      </c>
      <c r="E11" s="2" t="s">
        <v>2817</v>
      </c>
      <c r="F11" s="55" t="s">
        <v>2007</v>
      </c>
      <c r="G11" s="55"/>
      <c r="H11" s="54" t="str">
        <f t="shared" si="1"/>
        <v>(P1)</v>
      </c>
      <c r="I11" s="54" t="str">
        <f>IFERROR(__xludf.DUMMYFUNCTION("concatenate(ARRAYFORMULA(""P"" &amp; SPLIT(J11, "","") &amp; "",""))"),"P1,")</f>
        <v>P1,</v>
      </c>
      <c r="J11" s="54" t="str">
        <f>IFERROR(__xludf.DUMMYFUNCTION("ArrayFormula(textjoin("", "",true,unique(trim(split(M11,"","")),true)))"),"1")</f>
        <v>1</v>
      </c>
      <c r="K11" s="62"/>
      <c r="L11" s="54"/>
      <c r="M11" s="54" t="str">
        <f t="shared" si="2"/>
        <v>01</v>
      </c>
      <c r="N11" s="54">
        <f>IFERROR(__xludf.DUMMYFUNCTION("countunique(split(M11, "", ""))"),1.0)</f>
        <v>1</v>
      </c>
      <c r="O11" s="54">
        <f>IFERROR(__xludf.DUMMYFUNCTION("countif(split(K11,"",""),C11)"),0.0)</f>
        <v>0</v>
      </c>
      <c r="P11" s="55" t="b">
        <f>IFERROR(__xludf.DUMMYFUNCTION("MIN(split(J11,"",""))&lt;=7"),TRUE)</f>
        <v>1</v>
      </c>
      <c r="Q11" s="55" t="b">
        <f>IFERROR(__xludf.DUMMYFUNCTION("max(split(J11,"",""))&gt;=8"),FALSE)</f>
        <v>0</v>
      </c>
      <c r="R11" s="55" t="b">
        <f t="shared" si="3"/>
        <v>0</v>
      </c>
      <c r="S11" s="60" t="s">
        <v>3214</v>
      </c>
    </row>
    <row r="12">
      <c r="A12" s="54" t="s">
        <v>2820</v>
      </c>
      <c r="B12" s="55">
        <v>12.0</v>
      </c>
      <c r="C12" s="56" t="s">
        <v>3215</v>
      </c>
      <c r="D12" s="55" t="s">
        <v>8</v>
      </c>
      <c r="E12" s="2" t="s">
        <v>3216</v>
      </c>
      <c r="F12" s="55" t="s">
        <v>3217</v>
      </c>
      <c r="G12" s="55" t="s">
        <v>3218</v>
      </c>
      <c r="H12" s="54" t="str">
        <f t="shared" si="1"/>
        <v>(P2,P5,P11)</v>
      </c>
      <c r="I12" s="54" t="str">
        <f>IFERROR(__xludf.DUMMYFUNCTION("concatenate(ARRAYFORMULA(""P"" &amp; SPLIT(J12, "","") &amp; "",""))"),"P2,P5,P11,")</f>
        <v>P2,P5,P11,</v>
      </c>
      <c r="J12" s="54" t="str">
        <f>IFERROR(__xludf.DUMMYFUNCTION("ArrayFormula(textjoin("", "",true,unique(trim(split(M12,"","")),true)))"),"2, 5, 11")</f>
        <v>2, 5, 11</v>
      </c>
      <c r="K12" s="54" t="s">
        <v>3219</v>
      </c>
      <c r="L12" s="54" t="s">
        <v>3220</v>
      </c>
      <c r="M12" s="54" t="str">
        <f t="shared" si="2"/>
        <v>02, 02, 02, 05, 05, 11, 11, 11</v>
      </c>
      <c r="N12" s="54">
        <f>IFERROR(__xludf.DUMMYFUNCTION("countunique(split(M12, "", ""))"),3.0)</f>
        <v>3</v>
      </c>
      <c r="O12" s="54">
        <f>IFERROR(__xludf.DUMMYFUNCTION("countif(split(K12,"",""),C12)"),2.0)</f>
        <v>2</v>
      </c>
      <c r="P12" s="55" t="b">
        <f>IFERROR(__xludf.DUMMYFUNCTION("MIN(split(J12,"",""))&lt;=7"),TRUE)</f>
        <v>1</v>
      </c>
      <c r="Q12" s="55" t="b">
        <f>IFERROR(__xludf.DUMMYFUNCTION("max(split(J12,"",""))&gt;=8"),TRUE)</f>
        <v>1</v>
      </c>
      <c r="R12" s="55" t="b">
        <f t="shared" si="3"/>
        <v>1</v>
      </c>
      <c r="S12" s="55"/>
    </row>
    <row r="13">
      <c r="A13" s="54" t="s">
        <v>2822</v>
      </c>
      <c r="B13" s="55">
        <v>13.0</v>
      </c>
      <c r="C13" s="56" t="s">
        <v>3215</v>
      </c>
      <c r="D13" s="55" t="s">
        <v>8</v>
      </c>
      <c r="E13" s="2" t="s">
        <v>3221</v>
      </c>
      <c r="F13" s="55" t="s">
        <v>3222</v>
      </c>
      <c r="G13" s="55" t="s">
        <v>2032</v>
      </c>
      <c r="H13" s="54" t="str">
        <f t="shared" si="1"/>
        <v>(P2)</v>
      </c>
      <c r="I13" s="54" t="str">
        <f>IFERROR(__xludf.DUMMYFUNCTION("concatenate(ARRAYFORMULA(""P"" &amp; SPLIT(J13, "","") &amp; "",""))"),"P2,")</f>
        <v>P2,</v>
      </c>
      <c r="J13" s="54" t="str">
        <f>IFERROR(__xludf.DUMMYFUNCTION("ArrayFormula(textjoin("", "",true,unique(trim(split(M13,"","")),true)))"),"2")</f>
        <v>2</v>
      </c>
      <c r="K13" s="54" t="s">
        <v>3215</v>
      </c>
      <c r="L13" s="54" t="s">
        <v>2836</v>
      </c>
      <c r="M13" s="54" t="str">
        <f t="shared" si="2"/>
        <v>02, 02</v>
      </c>
      <c r="N13" s="54">
        <f>IFERROR(__xludf.DUMMYFUNCTION("countunique(split(M13, "", ""))"),1.0)</f>
        <v>1</v>
      </c>
      <c r="O13" s="54">
        <f>IFERROR(__xludf.DUMMYFUNCTION("countif(split(K13,"",""),C13)"),1.0)</f>
        <v>1</v>
      </c>
      <c r="P13" s="55" t="b">
        <f>IFERROR(__xludf.DUMMYFUNCTION("MIN(split(J13,"",""))&lt;=7"),TRUE)</f>
        <v>1</v>
      </c>
      <c r="Q13" s="55" t="b">
        <f>IFERROR(__xludf.DUMMYFUNCTION("max(split(J13,"",""))&gt;=8"),FALSE)</f>
        <v>0</v>
      </c>
      <c r="R13" s="55" t="b">
        <f t="shared" si="3"/>
        <v>0</v>
      </c>
      <c r="S13" s="55"/>
    </row>
    <row r="14">
      <c r="A14" s="54" t="s">
        <v>2824</v>
      </c>
      <c r="B14" s="55">
        <v>14.0</v>
      </c>
      <c r="C14" s="55" t="s">
        <v>3215</v>
      </c>
      <c r="D14" s="55" t="s">
        <v>8</v>
      </c>
      <c r="E14" s="2" t="s">
        <v>3223</v>
      </c>
      <c r="F14" s="55" t="s">
        <v>3224</v>
      </c>
      <c r="G14" s="55" t="s">
        <v>2017</v>
      </c>
      <c r="H14" s="54" t="str">
        <f t="shared" si="1"/>
        <v>(P2)</v>
      </c>
      <c r="I14" s="54" t="str">
        <f>IFERROR(__xludf.DUMMYFUNCTION("concatenate(ARRAYFORMULA(""P"" &amp; SPLIT(J14, "","") &amp; "",""))"),"P2,")</f>
        <v>P2,</v>
      </c>
      <c r="J14" s="54" t="str">
        <f>IFERROR(__xludf.DUMMYFUNCTION("ArrayFormula(textjoin("", "",true,unique(trim(split(M14,"","")),true)))"),"2")</f>
        <v>2</v>
      </c>
      <c r="K14" s="54" t="s">
        <v>3215</v>
      </c>
      <c r="L14" s="54" t="s">
        <v>2840</v>
      </c>
      <c r="M14" s="54" t="str">
        <f t="shared" si="2"/>
        <v>02, 02</v>
      </c>
      <c r="N14" s="54">
        <f>IFERROR(__xludf.DUMMYFUNCTION("countunique(split(M14, "", ""))"),1.0)</f>
        <v>1</v>
      </c>
      <c r="O14" s="54">
        <f>IFERROR(__xludf.DUMMYFUNCTION("countif(split(K14,"",""),C14)"),1.0)</f>
        <v>1</v>
      </c>
      <c r="P14" s="55" t="b">
        <f>IFERROR(__xludf.DUMMYFUNCTION("MIN(split(J14,"",""))&lt;=7"),TRUE)</f>
        <v>1</v>
      </c>
      <c r="Q14" s="55" t="b">
        <f>IFERROR(__xludf.DUMMYFUNCTION("max(split(J14,"",""))&gt;=8"),FALSE)</f>
        <v>0</v>
      </c>
      <c r="R14" s="55" t="b">
        <f t="shared" si="3"/>
        <v>0</v>
      </c>
      <c r="S14" s="55"/>
    </row>
    <row r="15">
      <c r="A15" s="54" t="s">
        <v>2826</v>
      </c>
      <c r="B15" s="55">
        <v>15.0</v>
      </c>
      <c r="C15" s="55" t="s">
        <v>3215</v>
      </c>
      <c r="D15" s="55" t="s">
        <v>8</v>
      </c>
      <c r="E15" s="2" t="s">
        <v>2827</v>
      </c>
      <c r="F15" s="55" t="s">
        <v>2025</v>
      </c>
      <c r="G15" s="55"/>
      <c r="H15" s="54" t="str">
        <f t="shared" si="1"/>
        <v>(P2)</v>
      </c>
      <c r="I15" s="54" t="str">
        <f>IFERROR(__xludf.DUMMYFUNCTION("concatenate(ARRAYFORMULA(""P"" &amp; SPLIT(J15, "","") &amp; "",""))"),"P2,")</f>
        <v>P2,</v>
      </c>
      <c r="J15" s="54" t="str">
        <f>IFERROR(__xludf.DUMMYFUNCTION("ArrayFormula(textjoin("", "",true,unique(trim(split(M15,"","")),true)))"),"2")</f>
        <v>2</v>
      </c>
      <c r="K15" s="54"/>
      <c r="L15" s="54"/>
      <c r="M15" s="54" t="str">
        <f t="shared" si="2"/>
        <v>02</v>
      </c>
      <c r="N15" s="54">
        <f>IFERROR(__xludf.DUMMYFUNCTION("countunique(split(M15, "", ""))"),1.0)</f>
        <v>1</v>
      </c>
      <c r="O15" s="54">
        <f>IFERROR(__xludf.DUMMYFUNCTION("countif(split(K15,"",""),C15)"),0.0)</f>
        <v>0</v>
      </c>
      <c r="P15" s="55" t="b">
        <f>IFERROR(__xludf.DUMMYFUNCTION("MIN(split(J15,"",""))&lt;=7"),TRUE)</f>
        <v>1</v>
      </c>
      <c r="Q15" s="55" t="b">
        <f>IFERROR(__xludf.DUMMYFUNCTION("max(split(J15,"",""))&gt;=8"),FALSE)</f>
        <v>0</v>
      </c>
      <c r="R15" s="55" t="b">
        <f t="shared" si="3"/>
        <v>0</v>
      </c>
      <c r="S15" s="55"/>
    </row>
    <row r="16">
      <c r="A16" s="54" t="s">
        <v>2828</v>
      </c>
      <c r="B16" s="55">
        <v>16.0</v>
      </c>
      <c r="C16" s="55" t="s">
        <v>3215</v>
      </c>
      <c r="D16" s="55" t="s">
        <v>8</v>
      </c>
      <c r="E16" s="2" t="s">
        <v>3225</v>
      </c>
      <c r="F16" s="55" t="s">
        <v>3226</v>
      </c>
      <c r="G16" s="55" t="s">
        <v>3227</v>
      </c>
      <c r="H16" s="54" t="str">
        <f t="shared" si="1"/>
        <v>(P2)</v>
      </c>
      <c r="I16" s="54" t="str">
        <f>IFERROR(__xludf.DUMMYFUNCTION("concatenate(ARRAYFORMULA(""P"" &amp; SPLIT(J16, "","") &amp; "",""))"),"P2,")</f>
        <v>P2,</v>
      </c>
      <c r="J16" s="54" t="str">
        <f>IFERROR(__xludf.DUMMYFUNCTION("ArrayFormula(textjoin("", "",true,unique(trim(split(M16,"","")),true)))"),"2")</f>
        <v>2</v>
      </c>
      <c r="K16" s="54" t="s">
        <v>3215</v>
      </c>
      <c r="L16" s="54" t="s">
        <v>2832</v>
      </c>
      <c r="M16" s="54" t="str">
        <f t="shared" si="2"/>
        <v>02, 02</v>
      </c>
      <c r="N16" s="54">
        <f>IFERROR(__xludf.DUMMYFUNCTION("countunique(split(M16, "", ""))"),1.0)</f>
        <v>1</v>
      </c>
      <c r="O16" s="54">
        <f>IFERROR(__xludf.DUMMYFUNCTION("countif(split(K16,"",""),C16)"),1.0)</f>
        <v>1</v>
      </c>
      <c r="P16" s="55" t="b">
        <f>IFERROR(__xludf.DUMMYFUNCTION("MIN(split(J16,"",""))&lt;=7"),TRUE)</f>
        <v>1</v>
      </c>
      <c r="Q16" s="55" t="b">
        <f>IFERROR(__xludf.DUMMYFUNCTION("max(split(J16,"",""))&gt;=8"),FALSE)</f>
        <v>0</v>
      </c>
      <c r="R16" s="55" t="b">
        <f t="shared" si="3"/>
        <v>0</v>
      </c>
      <c r="S16" s="55" t="s">
        <v>3228</v>
      </c>
    </row>
    <row r="17">
      <c r="A17" s="54" t="s">
        <v>2830</v>
      </c>
      <c r="B17" s="55">
        <v>17.0</v>
      </c>
      <c r="C17" s="55" t="s">
        <v>3215</v>
      </c>
      <c r="D17" s="55" t="s">
        <v>8</v>
      </c>
      <c r="E17" s="2" t="s">
        <v>3229</v>
      </c>
      <c r="F17" s="55" t="s">
        <v>2029</v>
      </c>
      <c r="G17" s="55"/>
      <c r="H17" s="54" t="str">
        <f t="shared" si="1"/>
        <v>(P2)</v>
      </c>
      <c r="I17" s="54" t="str">
        <f>IFERROR(__xludf.DUMMYFUNCTION("concatenate(ARRAYFORMULA(""P"" &amp; SPLIT(J17, "","") &amp; "",""))"),"P2,")</f>
        <v>P2,</v>
      </c>
      <c r="J17" s="54" t="str">
        <f>IFERROR(__xludf.DUMMYFUNCTION("ArrayFormula(textjoin("", "",true,unique(trim(split(M17,"","")),true)))"),"2")</f>
        <v>2</v>
      </c>
      <c r="K17" s="54"/>
      <c r="L17" s="54"/>
      <c r="M17" s="54" t="str">
        <f t="shared" si="2"/>
        <v>02</v>
      </c>
      <c r="N17" s="54">
        <f>IFERROR(__xludf.DUMMYFUNCTION("countunique(split(M17, "", ""))"),1.0)</f>
        <v>1</v>
      </c>
      <c r="O17" s="54">
        <f>IFERROR(__xludf.DUMMYFUNCTION("countif(split(K17,"",""),C17)"),0.0)</f>
        <v>0</v>
      </c>
      <c r="P17" s="55" t="b">
        <f>IFERROR(__xludf.DUMMYFUNCTION("MIN(split(J17,"",""))&lt;=7"),TRUE)</f>
        <v>1</v>
      </c>
      <c r="Q17" s="55" t="b">
        <f>IFERROR(__xludf.DUMMYFUNCTION("max(split(J17,"",""))&gt;=8"),FALSE)</f>
        <v>0</v>
      </c>
      <c r="R17" s="55" t="b">
        <f t="shared" si="3"/>
        <v>0</v>
      </c>
      <c r="S17" s="55"/>
    </row>
    <row r="18">
      <c r="A18" s="54" t="s">
        <v>2834</v>
      </c>
      <c r="B18" s="55">
        <v>19.0</v>
      </c>
      <c r="C18" s="55" t="s">
        <v>3215</v>
      </c>
      <c r="D18" s="55" t="s">
        <v>8</v>
      </c>
      <c r="E18" s="2" t="s">
        <v>2835</v>
      </c>
      <c r="F18" s="55" t="s">
        <v>2031</v>
      </c>
      <c r="G18" s="63"/>
      <c r="H18" s="54" t="str">
        <f t="shared" si="1"/>
        <v>(P2)</v>
      </c>
      <c r="I18" s="54" t="str">
        <f>IFERROR(__xludf.DUMMYFUNCTION("concatenate(ARRAYFORMULA(""P"" &amp; SPLIT(J18, "","") &amp; "",""))"),"P2,")</f>
        <v>P2,</v>
      </c>
      <c r="J18" s="54" t="str">
        <f>IFERROR(__xludf.DUMMYFUNCTION("ArrayFormula(textjoin("", "",true,unique(trim(split(M18,"","")),true)))"),"2")</f>
        <v>2</v>
      </c>
      <c r="K18" s="54"/>
      <c r="L18" s="54"/>
      <c r="M18" s="54" t="str">
        <f t="shared" si="2"/>
        <v>02</v>
      </c>
      <c r="N18" s="54">
        <f>IFERROR(__xludf.DUMMYFUNCTION("countunique(split(M18, "", ""))"),1.0)</f>
        <v>1</v>
      </c>
      <c r="O18" s="54">
        <f>IFERROR(__xludf.DUMMYFUNCTION("countif(split(K18,"",""),C18)"),0.0)</f>
        <v>0</v>
      </c>
      <c r="P18" s="55" t="b">
        <f>IFERROR(__xludf.DUMMYFUNCTION("MIN(split(J18,"",""))&lt;=7"),TRUE)</f>
        <v>1</v>
      </c>
      <c r="Q18" s="55" t="b">
        <f>IFERROR(__xludf.DUMMYFUNCTION("max(split(J18,"",""))&gt;=8"),FALSE)</f>
        <v>0</v>
      </c>
      <c r="R18" s="55" t="b">
        <f t="shared" si="3"/>
        <v>0</v>
      </c>
      <c r="S18" s="55"/>
    </row>
    <row r="19">
      <c r="A19" s="54" t="s">
        <v>2842</v>
      </c>
      <c r="B19" s="55">
        <v>22.0</v>
      </c>
      <c r="C19" s="55" t="s">
        <v>3215</v>
      </c>
      <c r="D19" s="55" t="s">
        <v>8</v>
      </c>
      <c r="E19" s="2" t="s">
        <v>3230</v>
      </c>
      <c r="F19" s="55" t="s">
        <v>3231</v>
      </c>
      <c r="G19" s="55" t="s">
        <v>3232</v>
      </c>
      <c r="H19" s="54" t="str">
        <f t="shared" si="1"/>
        <v>(P2,P3,P5,P6,P7,P8,P11)</v>
      </c>
      <c r="I19" s="54" t="str">
        <f>IFERROR(__xludf.DUMMYFUNCTION("concatenate(ARRAYFORMULA(""P"" &amp; SPLIT(J19, "","") &amp; "",""))"),"P2,P3,P5,P6,P7,P8,P11,")</f>
        <v>P2,P3,P5,P6,P7,P8,P11,</v>
      </c>
      <c r="J19" s="54" t="str">
        <f>IFERROR(__xludf.DUMMYFUNCTION("ArrayFormula(textjoin("", "",true,unique(trim(split(M19,"","")),true)))"),"2, 3, 5, 6, 7, 8, 11")</f>
        <v>2, 3, 5, 6, 7, 8, 11</v>
      </c>
      <c r="K19" s="54" t="s">
        <v>3233</v>
      </c>
      <c r="L19" s="54" t="s">
        <v>3234</v>
      </c>
      <c r="M19" s="54" t="str">
        <f t="shared" si="2"/>
        <v>02, 03, 03, 05, 06, 07, 08, 11</v>
      </c>
      <c r="N19" s="54">
        <f>IFERROR(__xludf.DUMMYFUNCTION("countunique(split(M19, "", ""))"),7.0)</f>
        <v>7</v>
      </c>
      <c r="O19" s="54">
        <f>IFERROR(__xludf.DUMMYFUNCTION("countif(split(K19,"",""),C19)"),0.0)</f>
        <v>0</v>
      </c>
      <c r="P19" s="55" t="b">
        <f>IFERROR(__xludf.DUMMYFUNCTION("MIN(split(J19,"",""))&lt;=7"),TRUE)</f>
        <v>1</v>
      </c>
      <c r="Q19" s="55" t="b">
        <f>IFERROR(__xludf.DUMMYFUNCTION("max(split(J19,"",""))&gt;=8"),TRUE)</f>
        <v>1</v>
      </c>
      <c r="R19" s="55" t="b">
        <f t="shared" si="3"/>
        <v>1</v>
      </c>
      <c r="S19" s="55"/>
    </row>
    <row r="20">
      <c r="A20" s="54" t="s">
        <v>2850</v>
      </c>
      <c r="B20" s="55">
        <v>25.0</v>
      </c>
      <c r="C20" s="56" t="s">
        <v>3235</v>
      </c>
      <c r="D20" s="55" t="s">
        <v>8</v>
      </c>
      <c r="E20" s="2" t="s">
        <v>3236</v>
      </c>
      <c r="F20" s="55" t="s">
        <v>3237</v>
      </c>
      <c r="G20" s="55" t="s">
        <v>3238</v>
      </c>
      <c r="H20" s="54" t="str">
        <f t="shared" si="1"/>
        <v>(P3,P4,P6,P8)</v>
      </c>
      <c r="I20" s="54" t="str">
        <f>IFERROR(__xludf.DUMMYFUNCTION("concatenate(ARRAYFORMULA(""P"" &amp; SPLIT(J20, "","") &amp; "",""))"),"P3,P4,P6,P8,")</f>
        <v>P3,P4,P6,P8,</v>
      </c>
      <c r="J20" s="54" t="str">
        <f>IFERROR(__xludf.DUMMYFUNCTION("ArrayFormula(textjoin("", "",true,unique(trim(split(M20,"","")),true)))"),"3, 4, 6, 8")</f>
        <v>3, 4, 6, 8</v>
      </c>
      <c r="K20" s="54" t="s">
        <v>3239</v>
      </c>
      <c r="L20" s="54" t="s">
        <v>3240</v>
      </c>
      <c r="M20" s="54" t="str">
        <f t="shared" si="2"/>
        <v>03, 04, 06, 06, 08</v>
      </c>
      <c r="N20" s="54">
        <f>IFERROR(__xludf.DUMMYFUNCTION("countunique(split(M20, "", ""))"),4.0)</f>
        <v>4</v>
      </c>
      <c r="O20" s="54">
        <f>IFERROR(__xludf.DUMMYFUNCTION("countif(split(K20,"",""),C20)"),0.0)</f>
        <v>0</v>
      </c>
      <c r="P20" s="55" t="b">
        <f>IFERROR(__xludf.DUMMYFUNCTION("MIN(split(J20,"",""))&lt;=7"),TRUE)</f>
        <v>1</v>
      </c>
      <c r="Q20" s="55" t="b">
        <f>IFERROR(__xludf.DUMMYFUNCTION("max(split(J20,"",""))&gt;=8"),TRUE)</f>
        <v>1</v>
      </c>
      <c r="R20" s="55" t="b">
        <f t="shared" si="3"/>
        <v>1</v>
      </c>
      <c r="S20" s="64"/>
    </row>
    <row r="21">
      <c r="A21" s="54" t="s">
        <v>2852</v>
      </c>
      <c r="B21" s="55">
        <v>26.0</v>
      </c>
      <c r="C21" s="56" t="s">
        <v>3235</v>
      </c>
      <c r="D21" s="55" t="s">
        <v>8</v>
      </c>
      <c r="E21" s="2" t="s">
        <v>3241</v>
      </c>
      <c r="F21" s="55" t="s">
        <v>3242</v>
      </c>
      <c r="G21" s="55" t="s">
        <v>3243</v>
      </c>
      <c r="H21" s="54" t="str">
        <f t="shared" si="1"/>
        <v>(P3,P4,P6,P9,P11,P12,P14)</v>
      </c>
      <c r="I21" s="54" t="str">
        <f>IFERROR(__xludf.DUMMYFUNCTION("concatenate(ARRAYFORMULA(""P"" &amp; SPLIT(J21, "","") &amp; "",""))"),"P3,P4,P6,P9,P11,P12,P14,")</f>
        <v>P3,P4,P6,P9,P11,P12,P14,</v>
      </c>
      <c r="J21" s="54" t="str">
        <f>IFERROR(__xludf.DUMMYFUNCTION("ArrayFormula(textjoin("", "",true,unique(trim(split(M21,"","")),true)))"),"3, 4, 6, 9, 11, 12, 14")</f>
        <v>3, 4, 6, 9, 11, 12, 14</v>
      </c>
      <c r="K21" s="54" t="s">
        <v>3244</v>
      </c>
      <c r="L21" s="54" t="s">
        <v>3245</v>
      </c>
      <c r="M21" s="54" t="str">
        <f t="shared" si="2"/>
        <v>03, 04, 04, 04, 06, 06, 09, 11, 12, 14</v>
      </c>
      <c r="N21" s="54">
        <f>IFERROR(__xludf.DUMMYFUNCTION("countunique(split(M21, "", ""))"),7.0)</f>
        <v>7</v>
      </c>
      <c r="O21" s="54">
        <f>IFERROR(__xludf.DUMMYFUNCTION("countif(split(K21,"",""),C21)"),0.0)</f>
        <v>0</v>
      </c>
      <c r="P21" s="55" t="b">
        <f>IFERROR(__xludf.DUMMYFUNCTION("MIN(split(J21,"",""))&lt;=7"),TRUE)</f>
        <v>1</v>
      </c>
      <c r="Q21" s="55" t="b">
        <f>IFERROR(__xludf.DUMMYFUNCTION("max(split(J21,"",""))&gt;=8"),TRUE)</f>
        <v>1</v>
      </c>
      <c r="R21" s="55" t="b">
        <f t="shared" si="3"/>
        <v>1</v>
      </c>
      <c r="S21" s="55"/>
    </row>
    <row r="22">
      <c r="A22" s="54" t="s">
        <v>2874</v>
      </c>
      <c r="B22" s="55">
        <v>27.0</v>
      </c>
      <c r="C22" s="56" t="s">
        <v>3246</v>
      </c>
      <c r="D22" s="55" t="s">
        <v>8</v>
      </c>
      <c r="E22" s="2" t="s">
        <v>3247</v>
      </c>
      <c r="F22" s="55" t="s">
        <v>2108</v>
      </c>
      <c r="G22" s="55"/>
      <c r="H22" s="54" t="str">
        <f t="shared" si="1"/>
        <v>(P4)</v>
      </c>
      <c r="I22" s="54" t="str">
        <f>IFERROR(__xludf.DUMMYFUNCTION("concatenate(ARRAYFORMULA(""P"" &amp; SPLIT(J22, "","") &amp; "",""))"),"P4,")</f>
        <v>P4,</v>
      </c>
      <c r="J22" s="54" t="str">
        <f>IFERROR(__xludf.DUMMYFUNCTION("ArrayFormula(textjoin("", "",true,unique(trim(split(M22,"","")),true)))"),"4")</f>
        <v>4</v>
      </c>
      <c r="K22" s="54"/>
      <c r="L22" s="54"/>
      <c r="M22" s="54" t="str">
        <f t="shared" si="2"/>
        <v>04</v>
      </c>
      <c r="N22" s="54">
        <f>IFERROR(__xludf.DUMMYFUNCTION("countunique(split(M22, "", ""))"),1.0)</f>
        <v>1</v>
      </c>
      <c r="O22" s="54">
        <f>IFERROR(__xludf.DUMMYFUNCTION("countif(split(K22,"",""),C22)"),0.0)</f>
        <v>0</v>
      </c>
      <c r="P22" s="55" t="b">
        <f>IFERROR(__xludf.DUMMYFUNCTION("MIN(split(J22,"",""))&lt;=7"),TRUE)</f>
        <v>1</v>
      </c>
      <c r="Q22" s="55" t="b">
        <f>IFERROR(__xludf.DUMMYFUNCTION("max(split(J22,"",""))&gt;=8"),FALSE)</f>
        <v>0</v>
      </c>
      <c r="R22" s="55" t="b">
        <f t="shared" si="3"/>
        <v>0</v>
      </c>
      <c r="S22" s="55"/>
    </row>
    <row r="23">
      <c r="A23" s="54" t="s">
        <v>2858</v>
      </c>
      <c r="B23" s="55">
        <v>28.0</v>
      </c>
      <c r="C23" s="55" t="s">
        <v>3235</v>
      </c>
      <c r="D23" s="55" t="s">
        <v>8</v>
      </c>
      <c r="E23" s="42" t="s">
        <v>3248</v>
      </c>
      <c r="F23" s="55" t="s">
        <v>2079</v>
      </c>
      <c r="G23" s="55"/>
      <c r="H23" s="54" t="str">
        <f t="shared" si="1"/>
        <v>(P3)</v>
      </c>
      <c r="I23" s="54" t="str">
        <f>IFERROR(__xludf.DUMMYFUNCTION("concatenate(ARRAYFORMULA(""P"" &amp; SPLIT(J23, "","") &amp; "",""))"),"P3,")</f>
        <v>P3,</v>
      </c>
      <c r="J23" s="54" t="str">
        <f>IFERROR(__xludf.DUMMYFUNCTION("ArrayFormula(textjoin("", "",true,unique(trim(split(M23,"","")),true)))"),"3")</f>
        <v>3</v>
      </c>
      <c r="K23" s="54"/>
      <c r="L23" s="54"/>
      <c r="M23" s="54" t="str">
        <f t="shared" si="2"/>
        <v>03</v>
      </c>
      <c r="N23" s="54">
        <f>IFERROR(__xludf.DUMMYFUNCTION("countunique(split(M23, "", ""))"),1.0)</f>
        <v>1</v>
      </c>
      <c r="O23" s="54">
        <f>IFERROR(__xludf.DUMMYFUNCTION("countif(split(K23,"",""),C23)"),0.0)</f>
        <v>0</v>
      </c>
      <c r="P23" s="55" t="b">
        <f>IFERROR(__xludf.DUMMYFUNCTION("MIN(split(J23,"",""))&lt;=7"),TRUE)</f>
        <v>1</v>
      </c>
      <c r="Q23" s="55" t="b">
        <f>IFERROR(__xludf.DUMMYFUNCTION("max(split(J23,"",""))&gt;=8"),FALSE)</f>
        <v>0</v>
      </c>
      <c r="R23" s="55" t="b">
        <f t="shared" si="3"/>
        <v>0</v>
      </c>
      <c r="S23" s="55"/>
    </row>
    <row r="24">
      <c r="A24" s="54" t="s">
        <v>2860</v>
      </c>
      <c r="B24" s="55">
        <v>29.0</v>
      </c>
      <c r="C24" s="55" t="s">
        <v>3235</v>
      </c>
      <c r="D24" s="55" t="s">
        <v>8</v>
      </c>
      <c r="E24" s="42" t="s">
        <v>3249</v>
      </c>
      <c r="F24" s="55" t="s">
        <v>3250</v>
      </c>
      <c r="G24" s="55" t="s">
        <v>3251</v>
      </c>
      <c r="H24" s="54" t="str">
        <f t="shared" si="1"/>
        <v>(P3,P7)</v>
      </c>
      <c r="I24" s="54" t="str">
        <f>IFERROR(__xludf.DUMMYFUNCTION("concatenate(ARRAYFORMULA(""P"" &amp; SPLIT(J24, "","") &amp; "",""))"),"P3,P7,")</f>
        <v>P3,P7,</v>
      </c>
      <c r="J24" s="54" t="str">
        <f>IFERROR(__xludf.DUMMYFUNCTION("ArrayFormula(textjoin("", "",true,unique(trim(split(M24,"","")),true)))"),"3, 7")</f>
        <v>3, 7</v>
      </c>
      <c r="K24" s="54" t="s">
        <v>3252</v>
      </c>
      <c r="L24" s="54" t="s">
        <v>2968</v>
      </c>
      <c r="M24" s="54" t="str">
        <f t="shared" si="2"/>
        <v>03, 07</v>
      </c>
      <c r="N24" s="54">
        <f>IFERROR(__xludf.DUMMYFUNCTION("countunique(split(M24, "", ""))"),2.0)</f>
        <v>2</v>
      </c>
      <c r="O24" s="54">
        <f>IFERROR(__xludf.DUMMYFUNCTION("countif(split(K24,"",""),C24)"),0.0)</f>
        <v>0</v>
      </c>
      <c r="P24" s="55" t="b">
        <f>IFERROR(__xludf.DUMMYFUNCTION("MIN(split(J24,"",""))&lt;=7"),TRUE)</f>
        <v>1</v>
      </c>
      <c r="Q24" s="55" t="b">
        <f>IFERROR(__xludf.DUMMYFUNCTION("max(split(J24,"",""))&gt;=8"),FALSE)</f>
        <v>0</v>
      </c>
      <c r="R24" s="55" t="b">
        <f t="shared" si="3"/>
        <v>0</v>
      </c>
      <c r="S24" s="55"/>
    </row>
    <row r="25">
      <c r="A25" s="54" t="s">
        <v>2862</v>
      </c>
      <c r="B25" s="55">
        <v>30.0</v>
      </c>
      <c r="C25" s="55" t="s">
        <v>3235</v>
      </c>
      <c r="D25" s="55" t="s">
        <v>8</v>
      </c>
      <c r="E25" s="2" t="s">
        <v>3253</v>
      </c>
      <c r="F25" s="55" t="s">
        <v>3254</v>
      </c>
      <c r="G25" s="55" t="s">
        <v>3255</v>
      </c>
      <c r="H25" s="54" t="str">
        <f t="shared" si="1"/>
        <v>(P3,P12,P13,P14)</v>
      </c>
      <c r="I25" s="54" t="str">
        <f>IFERROR(__xludf.DUMMYFUNCTION("concatenate(ARRAYFORMULA(""P"" &amp; SPLIT(J25, "","") &amp; "",""))"),"P3,P12,P13,P14,")</f>
        <v>P3,P12,P13,P14,</v>
      </c>
      <c r="J25" s="54" t="str">
        <f>IFERROR(__xludf.DUMMYFUNCTION("ArrayFormula(textjoin("", "",true,unique(trim(split(M25,"","")),true)))"),"3, 12, 13, 14")</f>
        <v>3, 12, 13, 14</v>
      </c>
      <c r="K25" s="54" t="s">
        <v>3256</v>
      </c>
      <c r="L25" s="54" t="s">
        <v>3257</v>
      </c>
      <c r="M25" s="54" t="str">
        <f t="shared" si="2"/>
        <v>03, 03, 12, 12, 13, 14, 14</v>
      </c>
      <c r="N25" s="54">
        <f>IFERROR(__xludf.DUMMYFUNCTION("countunique(split(M25, "", ""))"),4.0)</f>
        <v>4</v>
      </c>
      <c r="O25" s="54">
        <f>IFERROR(__xludf.DUMMYFUNCTION("countif(split(K25,"",""),C25)"),1.0)</f>
        <v>1</v>
      </c>
      <c r="P25" s="55" t="b">
        <f>IFERROR(__xludf.DUMMYFUNCTION("MIN(split(J25,"",""))&lt;=7"),TRUE)</f>
        <v>1</v>
      </c>
      <c r="Q25" s="55" t="b">
        <f>IFERROR(__xludf.DUMMYFUNCTION("max(split(J25,"",""))&gt;=8"),TRUE)</f>
        <v>1</v>
      </c>
      <c r="R25" s="55" t="b">
        <f t="shared" si="3"/>
        <v>1</v>
      </c>
      <c r="S25" s="55"/>
    </row>
    <row r="26">
      <c r="A26" s="54" t="s">
        <v>2866</v>
      </c>
      <c r="B26" s="55">
        <v>31.0</v>
      </c>
      <c r="C26" s="55" t="s">
        <v>3235</v>
      </c>
      <c r="D26" s="55" t="s">
        <v>8</v>
      </c>
      <c r="E26" s="42" t="s">
        <v>3258</v>
      </c>
      <c r="F26" s="55" t="s">
        <v>3259</v>
      </c>
      <c r="G26" s="55" t="s">
        <v>2742</v>
      </c>
      <c r="H26" s="54" t="str">
        <f t="shared" si="1"/>
        <v>(P3,P14)</v>
      </c>
      <c r="I26" s="54" t="str">
        <f>IFERROR(__xludf.DUMMYFUNCTION("concatenate(ARRAYFORMULA(""P"" &amp; SPLIT(J26, "","") &amp; "",""))"),"P3,P14,")</f>
        <v>P3,P14,</v>
      </c>
      <c r="J26" s="54" t="str">
        <f>IFERROR(__xludf.DUMMYFUNCTION("ArrayFormula(textjoin("", "",true,unique(trim(split(M26,"","")),true)))"),"3, 14")</f>
        <v>3, 14</v>
      </c>
      <c r="K26" s="54" t="s">
        <v>3260</v>
      </c>
      <c r="L26" s="54" t="s">
        <v>3123</v>
      </c>
      <c r="M26" s="54" t="str">
        <f t="shared" si="2"/>
        <v>03, 14</v>
      </c>
      <c r="N26" s="54">
        <f>IFERROR(__xludf.DUMMYFUNCTION("countunique(split(M26, "", ""))"),2.0)</f>
        <v>2</v>
      </c>
      <c r="O26" s="54">
        <f>IFERROR(__xludf.DUMMYFUNCTION("countif(split(K26,"",""),C26)"),0.0)</f>
        <v>0</v>
      </c>
      <c r="P26" s="55" t="b">
        <f>IFERROR(__xludf.DUMMYFUNCTION("MIN(split(J26,"",""))&lt;=7"),TRUE)</f>
        <v>1</v>
      </c>
      <c r="Q26" s="55" t="b">
        <f>IFERROR(__xludf.DUMMYFUNCTION("max(split(J26,"",""))&gt;=8"),TRUE)</f>
        <v>1</v>
      </c>
      <c r="R26" s="55" t="b">
        <f t="shared" si="3"/>
        <v>1</v>
      </c>
      <c r="S26" s="55"/>
    </row>
    <row r="27">
      <c r="A27" s="54" t="s">
        <v>2872</v>
      </c>
      <c r="B27" s="55">
        <v>32.0</v>
      </c>
      <c r="C27" s="56" t="s">
        <v>3246</v>
      </c>
      <c r="D27" s="55" t="s">
        <v>8</v>
      </c>
      <c r="E27" s="42" t="s">
        <v>3261</v>
      </c>
      <c r="F27" s="55" t="s">
        <v>3262</v>
      </c>
      <c r="G27" s="55" t="s">
        <v>3263</v>
      </c>
      <c r="H27" s="54" t="str">
        <f t="shared" si="1"/>
        <v>(P4,P5,P6,P8,P10)</v>
      </c>
      <c r="I27" s="54" t="str">
        <f>IFERROR(__xludf.DUMMYFUNCTION("concatenate(ARRAYFORMULA(""P"" &amp; SPLIT(J27, "","") &amp; "",""))"),"P4,P5,P6,P8,P10,")</f>
        <v>P4,P5,P6,P8,P10,</v>
      </c>
      <c r="J27" s="54" t="str">
        <f>IFERROR(__xludf.DUMMYFUNCTION("ArrayFormula(textjoin("", "",true,unique(trim(split(M27,"","")),true)))"),"4, 5, 6, 8, 10")</f>
        <v>4, 5, 6, 8, 10</v>
      </c>
      <c r="K27" s="54" t="s">
        <v>3264</v>
      </c>
      <c r="L27" s="54" t="s">
        <v>3265</v>
      </c>
      <c r="M27" s="54" t="str">
        <f t="shared" si="2"/>
        <v>04, 04, 05, 06, 08, 10</v>
      </c>
      <c r="N27" s="54">
        <f>IFERROR(__xludf.DUMMYFUNCTION("countunique(split(M27, "", ""))"),5.0)</f>
        <v>5</v>
      </c>
      <c r="O27" s="54">
        <f>IFERROR(__xludf.DUMMYFUNCTION("countif(split(K27,"",""),C27)"),1.0)</f>
        <v>1</v>
      </c>
      <c r="P27" s="55" t="b">
        <f>IFERROR(__xludf.DUMMYFUNCTION("MIN(split(J27,"",""))&lt;=7"),TRUE)</f>
        <v>1</v>
      </c>
      <c r="Q27" s="55" t="b">
        <f>IFERROR(__xludf.DUMMYFUNCTION("max(split(J27,"",""))&gt;=8"),TRUE)</f>
        <v>1</v>
      </c>
      <c r="R27" s="55" t="b">
        <f t="shared" si="3"/>
        <v>1</v>
      </c>
      <c r="S27" s="55"/>
    </row>
    <row r="28">
      <c r="A28" s="54" t="s">
        <v>2948</v>
      </c>
      <c r="B28" s="55">
        <v>33.0</v>
      </c>
      <c r="C28" s="55">
        <v>6.0</v>
      </c>
      <c r="D28" s="55" t="s">
        <v>8</v>
      </c>
      <c r="E28" s="2" t="s">
        <v>2949</v>
      </c>
      <c r="F28" s="55" t="s">
        <v>2315</v>
      </c>
      <c r="G28" s="55"/>
      <c r="H28" s="54" t="str">
        <f t="shared" si="1"/>
        <v>(P6)</v>
      </c>
      <c r="I28" s="54" t="str">
        <f>IFERROR(__xludf.DUMMYFUNCTION("concatenate(ARRAYFORMULA(""P"" &amp; SPLIT(J28, "","") &amp; "",""))"),"P6,")</f>
        <v>P6,</v>
      </c>
      <c r="J28" s="54" t="str">
        <f>IFERROR(__xludf.DUMMYFUNCTION("ArrayFormula(textjoin("", "",true,unique(trim(split(M28,"","")),true)))"),"6")</f>
        <v>6</v>
      </c>
      <c r="K28" s="54"/>
      <c r="L28" s="54"/>
      <c r="M28" s="54">
        <f t="shared" si="2"/>
        <v>6</v>
      </c>
      <c r="N28" s="54">
        <f>IFERROR(__xludf.DUMMYFUNCTION("countunique(split(M28, "", ""))"),1.0)</f>
        <v>1</v>
      </c>
      <c r="O28" s="54">
        <f>IFERROR(__xludf.DUMMYFUNCTION("countif(split(K28,"",""),C28)"),0.0)</f>
        <v>0</v>
      </c>
      <c r="P28" s="55" t="b">
        <f>IFERROR(__xludf.DUMMYFUNCTION("MIN(split(J28,"",""))&lt;=7"),TRUE)</f>
        <v>1</v>
      </c>
      <c r="Q28" s="55" t="b">
        <f>IFERROR(__xludf.DUMMYFUNCTION("max(split(J28,"",""))&gt;=8"),FALSE)</f>
        <v>0</v>
      </c>
      <c r="R28" s="55" t="b">
        <f t="shared" si="3"/>
        <v>0</v>
      </c>
      <c r="S28" s="55"/>
    </row>
    <row r="29">
      <c r="A29" s="54" t="s">
        <v>3013</v>
      </c>
      <c r="B29" s="55">
        <v>34.0</v>
      </c>
      <c r="C29" s="56" t="s">
        <v>3266</v>
      </c>
      <c r="D29" s="55" t="s">
        <v>8</v>
      </c>
      <c r="E29" s="3" t="s">
        <v>3267</v>
      </c>
      <c r="F29" s="55" t="s">
        <v>3268</v>
      </c>
      <c r="G29" s="55" t="s">
        <v>3269</v>
      </c>
      <c r="H29" s="54" t="str">
        <f t="shared" si="1"/>
        <v>(P9,P14)</v>
      </c>
      <c r="I29" s="54" t="str">
        <f>IFERROR(__xludf.DUMMYFUNCTION("concatenate(ARRAYFORMULA(""P"" &amp; SPLIT(J29, "","") &amp; "",""))"),"P9,P14,")</f>
        <v>P9,P14,</v>
      </c>
      <c r="J29" s="54" t="str">
        <f>IFERROR(__xludf.DUMMYFUNCTION("ArrayFormula(textjoin("", "",true,unique(trim(split(M29,"","")),true)))"),"9, 14")</f>
        <v>9, 14</v>
      </c>
      <c r="K29" s="54" t="s">
        <v>3270</v>
      </c>
      <c r="L29" s="54" t="s">
        <v>3271</v>
      </c>
      <c r="M29" s="54" t="str">
        <f t="shared" si="2"/>
        <v>09, 14, 14</v>
      </c>
      <c r="N29" s="54">
        <f>IFERROR(__xludf.DUMMYFUNCTION("countunique(split(M29, "", ""))"),2.0)</f>
        <v>2</v>
      </c>
      <c r="O29" s="54">
        <f>IFERROR(__xludf.DUMMYFUNCTION("countif(split(K29,"",""),C29)"),0.0)</f>
        <v>0</v>
      </c>
      <c r="P29" s="55" t="b">
        <f>IFERROR(__xludf.DUMMYFUNCTION("MIN(split(J29,"",""))&lt;=7"),FALSE)</f>
        <v>0</v>
      </c>
      <c r="Q29" s="55" t="b">
        <f>IFERROR(__xludf.DUMMYFUNCTION("max(split(J29,"",""))&gt;=8"),TRUE)</f>
        <v>1</v>
      </c>
      <c r="R29" s="55" t="b">
        <f t="shared" si="3"/>
        <v>0</v>
      </c>
      <c r="S29" s="55"/>
    </row>
    <row r="30">
      <c r="A30" s="54" t="s">
        <v>2844</v>
      </c>
      <c r="B30" s="55">
        <v>35.0</v>
      </c>
      <c r="C30" s="54" t="s">
        <v>3215</v>
      </c>
      <c r="D30" s="55" t="s">
        <v>8</v>
      </c>
      <c r="E30" s="2" t="s">
        <v>3272</v>
      </c>
      <c r="F30" s="55" t="s">
        <v>3273</v>
      </c>
      <c r="G30" s="55" t="s">
        <v>3274</v>
      </c>
      <c r="H30" s="54" t="str">
        <f t="shared" si="1"/>
        <v>(P2,P4,P6,P11,P12,P14)</v>
      </c>
      <c r="I30" s="54" t="str">
        <f>IFERROR(__xludf.DUMMYFUNCTION("concatenate(ARRAYFORMULA(""P"" &amp; SPLIT(J30, "","") &amp; "",""))"),"P2,P4,P6,P11,P12,P14,")</f>
        <v>P2,P4,P6,P11,P12,P14,</v>
      </c>
      <c r="J30" s="54" t="str">
        <f>IFERROR(__xludf.DUMMYFUNCTION("ArrayFormula(textjoin("", "",true,unique(trim(split(M30,"","")),true)))"),"2, 4, 6, 11, 12, 14")</f>
        <v>2, 4, 6, 11, 12, 14</v>
      </c>
      <c r="K30" s="54" t="s">
        <v>3275</v>
      </c>
      <c r="L30" s="54" t="s">
        <v>3276</v>
      </c>
      <c r="M30" s="54" t="str">
        <f t="shared" si="2"/>
        <v>02, 04, 06, 06, 11, 12, 12, 14</v>
      </c>
      <c r="N30" s="54">
        <f>IFERROR(__xludf.DUMMYFUNCTION("countunique(split(M30, "", ""))"),6.0)</f>
        <v>6</v>
      </c>
      <c r="O30" s="54">
        <f>IFERROR(__xludf.DUMMYFUNCTION("countif(split(K30,"",""),C30)"),0.0)</f>
        <v>0</v>
      </c>
      <c r="P30" s="55" t="b">
        <f>IFERROR(__xludf.DUMMYFUNCTION("MIN(split(J30,"",""))&lt;=7"),TRUE)</f>
        <v>1</v>
      </c>
      <c r="Q30" s="55" t="b">
        <f>IFERROR(__xludf.DUMMYFUNCTION("max(split(J30,"",""))&gt;=8"),TRUE)</f>
        <v>1</v>
      </c>
      <c r="R30" s="55" t="b">
        <f t="shared" si="3"/>
        <v>1</v>
      </c>
      <c r="S30" s="55"/>
    </row>
    <row r="31">
      <c r="A31" s="54" t="s">
        <v>2888</v>
      </c>
      <c r="B31" s="54">
        <v>36.0</v>
      </c>
      <c r="C31" s="54" t="s">
        <v>3246</v>
      </c>
      <c r="D31" s="54" t="s">
        <v>8</v>
      </c>
      <c r="E31" s="65" t="s">
        <v>3277</v>
      </c>
      <c r="F31" s="54" t="s">
        <v>3278</v>
      </c>
      <c r="G31" s="54" t="s">
        <v>3279</v>
      </c>
      <c r="H31" s="54" t="str">
        <f t="shared" si="1"/>
        <v>(P4,P8,P12)</v>
      </c>
      <c r="I31" s="54" t="str">
        <f>IFERROR(__xludf.DUMMYFUNCTION("concatenate(ARRAYFORMULA(""P"" &amp; SPLIT(J31, "","") &amp; "",""))"),"P4,P8,P12,")</f>
        <v>P4,P8,P12,</v>
      </c>
      <c r="J31" s="54" t="str">
        <f>IFERROR(__xludf.DUMMYFUNCTION("ArrayFormula(textjoin("", "",true,unique(trim(split(M31,"","")),true)))"),"4, 8, 12")</f>
        <v>4, 8, 12</v>
      </c>
      <c r="K31" s="54" t="s">
        <v>3280</v>
      </c>
      <c r="L31" s="54" t="s">
        <v>3281</v>
      </c>
      <c r="M31" s="54" t="str">
        <f t="shared" si="2"/>
        <v>04, 08, 12</v>
      </c>
      <c r="N31" s="54">
        <f>IFERROR(__xludf.DUMMYFUNCTION("countunique(split(M31, "", ""))"),3.0)</f>
        <v>3</v>
      </c>
      <c r="O31" s="54">
        <f>IFERROR(__xludf.DUMMYFUNCTION("countif(split(K31,"",""),C31)"),0.0)</f>
        <v>0</v>
      </c>
      <c r="P31" s="55" t="b">
        <f>IFERROR(__xludf.DUMMYFUNCTION("MIN(split(J31,"",""))&lt;=7"),TRUE)</f>
        <v>1</v>
      </c>
      <c r="Q31" s="55" t="b">
        <f>IFERROR(__xludf.DUMMYFUNCTION("max(split(J31,"",""))&gt;=8"),TRUE)</f>
        <v>1</v>
      </c>
      <c r="R31" s="55" t="b">
        <f t="shared" si="3"/>
        <v>1</v>
      </c>
      <c r="S31" s="54"/>
    </row>
    <row r="32">
      <c r="A32" s="54" t="s">
        <v>2896</v>
      </c>
      <c r="B32" s="55">
        <v>37.0</v>
      </c>
      <c r="C32" s="56" t="s">
        <v>3282</v>
      </c>
      <c r="D32" s="55" t="s">
        <v>8</v>
      </c>
      <c r="E32" s="65" t="s">
        <v>3283</v>
      </c>
      <c r="F32" s="55" t="s">
        <v>2213</v>
      </c>
      <c r="G32" s="55"/>
      <c r="H32" s="54" t="str">
        <f t="shared" si="1"/>
        <v>(P5)</v>
      </c>
      <c r="I32" s="54" t="str">
        <f>IFERROR(__xludf.DUMMYFUNCTION("concatenate(ARRAYFORMULA(""P"" &amp; SPLIT(J32, "","") &amp; "",""))"),"P5,")</f>
        <v>P5,</v>
      </c>
      <c r="J32" s="54" t="str">
        <f>IFERROR(__xludf.DUMMYFUNCTION("ArrayFormula(textjoin("", "",true,unique(trim(split(M32,"","")),true)))"),"5")</f>
        <v>5</v>
      </c>
      <c r="K32" s="54"/>
      <c r="L32" s="54"/>
      <c r="M32" s="54" t="str">
        <f t="shared" si="2"/>
        <v>05</v>
      </c>
      <c r="N32" s="54">
        <f>IFERROR(__xludf.DUMMYFUNCTION("countunique(split(M32, "", ""))"),1.0)</f>
        <v>1</v>
      </c>
      <c r="O32" s="54">
        <f>IFERROR(__xludf.DUMMYFUNCTION("countif(split(K32,"",""),C32)"),0.0)</f>
        <v>0</v>
      </c>
      <c r="P32" s="55" t="b">
        <f>IFERROR(__xludf.DUMMYFUNCTION("MIN(split(J32,"",""))&lt;=7"),TRUE)</f>
        <v>1</v>
      </c>
      <c r="Q32" s="55" t="b">
        <f>IFERROR(__xludf.DUMMYFUNCTION("max(split(J32,"",""))&gt;=8"),FALSE)</f>
        <v>0</v>
      </c>
      <c r="R32" s="55" t="b">
        <f t="shared" si="3"/>
        <v>0</v>
      </c>
      <c r="S32" s="55"/>
    </row>
    <row r="33">
      <c r="A33" s="54" t="s">
        <v>2902</v>
      </c>
      <c r="B33" s="55">
        <v>38.0</v>
      </c>
      <c r="C33" s="56" t="s">
        <v>3282</v>
      </c>
      <c r="D33" s="55" t="s">
        <v>8</v>
      </c>
      <c r="E33" s="65" t="s">
        <v>2903</v>
      </c>
      <c r="F33" s="63" t="s">
        <v>2225</v>
      </c>
      <c r="G33" s="63"/>
      <c r="H33" s="54" t="str">
        <f t="shared" si="1"/>
        <v>(P5)</v>
      </c>
      <c r="I33" s="54" t="str">
        <f>IFERROR(__xludf.DUMMYFUNCTION("concatenate(ARRAYFORMULA(""P"" &amp; SPLIT(J33, "","") &amp; "",""))"),"P5,")</f>
        <v>P5,</v>
      </c>
      <c r="J33" s="54" t="str">
        <f>IFERROR(__xludf.DUMMYFUNCTION("ArrayFormula(textjoin("", "",true,unique(trim(split(M33,"","")),true)))"),"5")</f>
        <v>5</v>
      </c>
      <c r="K33" s="54"/>
      <c r="L33" s="54"/>
      <c r="M33" s="54" t="str">
        <f t="shared" si="2"/>
        <v>05</v>
      </c>
      <c r="N33" s="54">
        <f>IFERROR(__xludf.DUMMYFUNCTION("countunique(split(M33, "", ""))"),1.0)</f>
        <v>1</v>
      </c>
      <c r="O33" s="54">
        <f>IFERROR(__xludf.DUMMYFUNCTION("countif(split(K33,"",""),C33)"),0.0)</f>
        <v>0</v>
      </c>
      <c r="P33" s="55" t="b">
        <f>IFERROR(__xludf.DUMMYFUNCTION("MIN(split(J33,"",""))&lt;=7"),TRUE)</f>
        <v>1</v>
      </c>
      <c r="Q33" s="55" t="b">
        <f>IFERROR(__xludf.DUMMYFUNCTION("max(split(J33,"",""))&gt;=8"),FALSE)</f>
        <v>0</v>
      </c>
      <c r="R33" s="55" t="b">
        <f t="shared" si="3"/>
        <v>0</v>
      </c>
      <c r="S33" s="55"/>
    </row>
    <row r="34">
      <c r="A34" s="54" t="s">
        <v>2904</v>
      </c>
      <c r="B34" s="55">
        <v>39.0</v>
      </c>
      <c r="C34" s="55" t="s">
        <v>3282</v>
      </c>
      <c r="D34" s="55" t="s">
        <v>8</v>
      </c>
      <c r="E34" s="2" t="s">
        <v>3284</v>
      </c>
      <c r="F34" s="55" t="s">
        <v>3285</v>
      </c>
      <c r="G34" s="55" t="s">
        <v>3286</v>
      </c>
      <c r="H34" s="54" t="str">
        <f t="shared" si="1"/>
        <v>(P5,P9,P11,P14)</v>
      </c>
      <c r="I34" s="54" t="str">
        <f>IFERROR(__xludf.DUMMYFUNCTION("concatenate(ARRAYFORMULA(""P"" &amp; SPLIT(J34, "","") &amp; "",""))"),"P5,P9,P11,P14,")</f>
        <v>P5,P9,P11,P14,</v>
      </c>
      <c r="J34" s="54" t="str">
        <f>IFERROR(__xludf.DUMMYFUNCTION("ArrayFormula(textjoin("", "",true,unique(trim(split(M34,"","")),true)))"),"5, 9, 11, 14")</f>
        <v>5, 9, 11, 14</v>
      </c>
      <c r="K34" s="54" t="s">
        <v>3287</v>
      </c>
      <c r="L34" s="54" t="s">
        <v>3288</v>
      </c>
      <c r="M34" s="54" t="str">
        <f t="shared" si="2"/>
        <v>05, 09, 11, 11, 14</v>
      </c>
      <c r="N34" s="54">
        <f>IFERROR(__xludf.DUMMYFUNCTION("countunique(split(M34, "", ""))"),4.0)</f>
        <v>4</v>
      </c>
      <c r="O34" s="54">
        <f>IFERROR(__xludf.DUMMYFUNCTION("countif(split(K34,"",""),C34)"),0.0)</f>
        <v>0</v>
      </c>
      <c r="P34" s="55" t="b">
        <f>IFERROR(__xludf.DUMMYFUNCTION("MIN(split(J34,"",""))&lt;=7"),TRUE)</f>
        <v>1</v>
      </c>
      <c r="Q34" s="55" t="b">
        <f>IFERROR(__xludf.DUMMYFUNCTION("max(split(J34,"",""))&gt;=8"),TRUE)</f>
        <v>1</v>
      </c>
      <c r="R34" s="55" t="b">
        <f t="shared" si="3"/>
        <v>1</v>
      </c>
      <c r="S34" s="55"/>
    </row>
    <row r="35">
      <c r="A35" s="54" t="s">
        <v>2906</v>
      </c>
      <c r="B35" s="55">
        <v>40.0</v>
      </c>
      <c r="C35" s="55" t="s">
        <v>3282</v>
      </c>
      <c r="D35" s="63" t="s">
        <v>8</v>
      </c>
      <c r="E35" s="2" t="s">
        <v>3289</v>
      </c>
      <c r="F35" s="55" t="s">
        <v>3290</v>
      </c>
      <c r="G35" s="63" t="s">
        <v>3291</v>
      </c>
      <c r="H35" s="54" t="str">
        <f t="shared" si="1"/>
        <v>(P5,P7)</v>
      </c>
      <c r="I35" s="54" t="str">
        <f>IFERROR(__xludf.DUMMYFUNCTION("concatenate(ARRAYFORMULA(""P"" &amp; SPLIT(J35, "","") &amp; "",""))"),"P5,P7,")</f>
        <v>P5,P7,</v>
      </c>
      <c r="J35" s="54" t="str">
        <f>IFERROR(__xludf.DUMMYFUNCTION("ArrayFormula(textjoin("", "",true,unique(trim(split(M35,"","")),true)))"),"5, 7")</f>
        <v>5, 7</v>
      </c>
      <c r="K35" s="54" t="s">
        <v>3252</v>
      </c>
      <c r="L35" s="54" t="s">
        <v>2954</v>
      </c>
      <c r="M35" s="54" t="str">
        <f t="shared" si="2"/>
        <v>05, 07</v>
      </c>
      <c r="N35" s="54">
        <f>IFERROR(__xludf.DUMMYFUNCTION("countunique(split(M35, "", ""))"),2.0)</f>
        <v>2</v>
      </c>
      <c r="O35" s="54">
        <f>IFERROR(__xludf.DUMMYFUNCTION("countif(split(K35,"",""),C35)"),0.0)</f>
        <v>0</v>
      </c>
      <c r="P35" s="55" t="b">
        <f>IFERROR(__xludf.DUMMYFUNCTION("MIN(split(J35,"",""))&lt;=7"),TRUE)</f>
        <v>1</v>
      </c>
      <c r="Q35" s="55" t="b">
        <f>IFERROR(__xludf.DUMMYFUNCTION("max(split(J35,"",""))&gt;=8"),FALSE)</f>
        <v>0</v>
      </c>
      <c r="R35" s="55" t="b">
        <f t="shared" si="3"/>
        <v>0</v>
      </c>
      <c r="S35" s="64"/>
    </row>
    <row r="36">
      <c r="A36" s="54" t="s">
        <v>2908</v>
      </c>
      <c r="B36" s="55">
        <v>41.0</v>
      </c>
      <c r="C36" s="55" t="s">
        <v>3282</v>
      </c>
      <c r="D36" s="63" t="s">
        <v>8</v>
      </c>
      <c r="E36" s="2" t="s">
        <v>3292</v>
      </c>
      <c r="F36" s="55" t="s">
        <v>3293</v>
      </c>
      <c r="G36" s="63" t="s">
        <v>3294</v>
      </c>
      <c r="H36" s="54" t="str">
        <f t="shared" si="1"/>
        <v>(P5,P7,P8,P9,P10,P13,P14)</v>
      </c>
      <c r="I36" s="54" t="str">
        <f>IFERROR(__xludf.DUMMYFUNCTION("concatenate(ARRAYFORMULA(""P"" &amp; SPLIT(J36, "","") &amp; "",""))"),"P5,P7,P8,P9,P10,P13,P14,")</f>
        <v>P5,P7,P8,P9,P10,P13,P14,</v>
      </c>
      <c r="J36" s="54" t="str">
        <f>IFERROR(__xludf.DUMMYFUNCTION("ArrayFormula(textjoin("", "",true,unique(trim(split(M36,"","")),true)))"),"5, 7, 8, 9, 10, 13, 14")</f>
        <v>5, 7, 8, 9, 10, 13, 14</v>
      </c>
      <c r="K36" s="54" t="s">
        <v>3295</v>
      </c>
      <c r="L36" s="54" t="s">
        <v>3296</v>
      </c>
      <c r="M36" s="54" t="str">
        <f t="shared" si="2"/>
        <v>05, 07, 08, 08, 08, 08, 09, 09, 09, 10, 13, 14, 14, 14</v>
      </c>
      <c r="N36" s="54">
        <f>IFERROR(__xludf.DUMMYFUNCTION("countunique(split(M36, "", ""))"),7.0)</f>
        <v>7</v>
      </c>
      <c r="O36" s="54">
        <f>IFERROR(__xludf.DUMMYFUNCTION("countif(split(K36,"",""),C36)"),0.0)</f>
        <v>0</v>
      </c>
      <c r="P36" s="55" t="b">
        <f>IFERROR(__xludf.DUMMYFUNCTION("MIN(split(J36,"",""))&lt;=7"),TRUE)</f>
        <v>1</v>
      </c>
      <c r="Q36" s="55" t="b">
        <f>IFERROR(__xludf.DUMMYFUNCTION("max(split(J36,"",""))&gt;=8"),TRUE)</f>
        <v>1</v>
      </c>
      <c r="R36" s="55" t="b">
        <f t="shared" si="3"/>
        <v>1</v>
      </c>
      <c r="S36" s="55"/>
    </row>
    <row r="37">
      <c r="A37" s="54" t="s">
        <v>2910</v>
      </c>
      <c r="B37" s="55">
        <v>42.0</v>
      </c>
      <c r="C37" s="55" t="s">
        <v>3282</v>
      </c>
      <c r="D37" s="55" t="s">
        <v>8</v>
      </c>
      <c r="E37" s="2" t="s">
        <v>3297</v>
      </c>
      <c r="F37" s="55" t="s">
        <v>3298</v>
      </c>
      <c r="G37" s="55" t="s">
        <v>3299</v>
      </c>
      <c r="H37" s="54" t="str">
        <f t="shared" si="1"/>
        <v>(P5,P9,P10)</v>
      </c>
      <c r="I37" s="54" t="str">
        <f>IFERROR(__xludf.DUMMYFUNCTION("concatenate(ARRAYFORMULA(""P"" &amp; SPLIT(J37, "","") &amp; "",""))"),"P5,P9,P10,")</f>
        <v>P5,P9,P10,</v>
      </c>
      <c r="J37" s="54" t="str">
        <f>IFERROR(__xludf.DUMMYFUNCTION("ArrayFormula(textjoin("", "",true,unique(trim(split(M37,"","")),true)))"),"5, 9, 10")</f>
        <v>5, 9, 10</v>
      </c>
      <c r="K37" s="54" t="s">
        <v>3199</v>
      </c>
      <c r="L37" s="54" t="s">
        <v>3300</v>
      </c>
      <c r="M37" s="54" t="str">
        <f t="shared" si="2"/>
        <v>05, 09, 10</v>
      </c>
      <c r="N37" s="54">
        <f>IFERROR(__xludf.DUMMYFUNCTION("countunique(split(M37, "", ""))"),3.0)</f>
        <v>3</v>
      </c>
      <c r="O37" s="54">
        <f>IFERROR(__xludf.DUMMYFUNCTION("countif(split(K37,"",""),C37)"),0.0)</f>
        <v>0</v>
      </c>
      <c r="P37" s="55" t="b">
        <f>IFERROR(__xludf.DUMMYFUNCTION("MIN(split(J37,"",""))&lt;=7"),TRUE)</f>
        <v>1</v>
      </c>
      <c r="Q37" s="55" t="b">
        <f>IFERROR(__xludf.DUMMYFUNCTION("max(split(J37,"",""))&gt;=8"),TRUE)</f>
        <v>1</v>
      </c>
      <c r="R37" s="55" t="b">
        <f t="shared" si="3"/>
        <v>1</v>
      </c>
      <c r="S37" s="55"/>
    </row>
    <row r="38">
      <c r="A38" s="54" t="s">
        <v>2912</v>
      </c>
      <c r="B38" s="54">
        <v>43.0</v>
      </c>
      <c r="C38" s="54" t="s">
        <v>3282</v>
      </c>
      <c r="D38" s="54" t="s">
        <v>8</v>
      </c>
      <c r="E38" s="65" t="s">
        <v>3301</v>
      </c>
      <c r="F38" s="54" t="s">
        <v>3302</v>
      </c>
      <c r="G38" s="54" t="s">
        <v>3303</v>
      </c>
      <c r="H38" s="54" t="str">
        <f t="shared" si="1"/>
        <v>(P5,P12,P14)</v>
      </c>
      <c r="I38" s="54" t="str">
        <f>IFERROR(__xludf.DUMMYFUNCTION("concatenate(ARRAYFORMULA(""P"" &amp; SPLIT(J38, "","") &amp; "",""))"),"P5,P12,P14,")</f>
        <v>P5,P12,P14,</v>
      </c>
      <c r="J38" s="54" t="str">
        <f>IFERROR(__xludf.DUMMYFUNCTION("ArrayFormula(textjoin("", "",true,unique(trim(split(M38,"","")),true)))"),"5, 12, 14")</f>
        <v>5, 12, 14</v>
      </c>
      <c r="K38" s="54" t="s">
        <v>3304</v>
      </c>
      <c r="L38" s="54" t="s">
        <v>3305</v>
      </c>
      <c r="M38" s="54" t="str">
        <f t="shared" si="2"/>
        <v>05, 12, 14</v>
      </c>
      <c r="N38" s="54">
        <f>IFERROR(__xludf.DUMMYFUNCTION("countunique(split(M38, "", ""))"),3.0)</f>
        <v>3</v>
      </c>
      <c r="O38" s="54">
        <f>IFERROR(__xludf.DUMMYFUNCTION("countif(split(K38,"",""),C38)"),0.0)</f>
        <v>0</v>
      </c>
      <c r="P38" s="55" t="b">
        <f>IFERROR(__xludf.DUMMYFUNCTION("MIN(split(J38,"",""))&lt;=7"),TRUE)</f>
        <v>1</v>
      </c>
      <c r="Q38" s="55" t="b">
        <f>IFERROR(__xludf.DUMMYFUNCTION("max(split(J38,"",""))&gt;=8"),TRUE)</f>
        <v>1</v>
      </c>
      <c r="R38" s="55" t="b">
        <f t="shared" si="3"/>
        <v>1</v>
      </c>
      <c r="S38" s="54"/>
    </row>
    <row r="39">
      <c r="A39" s="54" t="s">
        <v>2914</v>
      </c>
      <c r="B39" s="55">
        <v>44.0</v>
      </c>
      <c r="C39" s="55" t="s">
        <v>3282</v>
      </c>
      <c r="D39" s="63" t="s">
        <v>8</v>
      </c>
      <c r="E39" s="2" t="s">
        <v>3306</v>
      </c>
      <c r="F39" s="55" t="s">
        <v>3307</v>
      </c>
      <c r="G39" s="63" t="s">
        <v>3308</v>
      </c>
      <c r="H39" s="54" t="str">
        <f t="shared" si="1"/>
        <v>(P5,P7)</v>
      </c>
      <c r="I39" s="54" t="str">
        <f>IFERROR(__xludf.DUMMYFUNCTION("concatenate(ARRAYFORMULA(""P"" &amp; SPLIT(J39, "","") &amp; "",""))"),"P5,P7,")</f>
        <v>P5,P7,</v>
      </c>
      <c r="J39" s="54" t="str">
        <f>IFERROR(__xludf.DUMMYFUNCTION("ArrayFormula(textjoin("", "",true,unique(trim(split(M39,"","")),true)))"),"5, 7")</f>
        <v>5, 7</v>
      </c>
      <c r="K39" s="54" t="s">
        <v>3252</v>
      </c>
      <c r="L39" s="54" t="s">
        <v>2956</v>
      </c>
      <c r="M39" s="54" t="str">
        <f t="shared" si="2"/>
        <v>05, 07</v>
      </c>
      <c r="N39" s="54">
        <f>IFERROR(__xludf.DUMMYFUNCTION("countunique(split(M39, "", ""))"),2.0)</f>
        <v>2</v>
      </c>
      <c r="O39" s="54">
        <f>IFERROR(__xludf.DUMMYFUNCTION("countif(split(K39,"",""),C39)"),0.0)</f>
        <v>0</v>
      </c>
      <c r="P39" s="55" t="b">
        <f>IFERROR(__xludf.DUMMYFUNCTION("MIN(split(J39,"",""))&lt;=7"),TRUE)</f>
        <v>1</v>
      </c>
      <c r="Q39" s="55" t="b">
        <f>IFERROR(__xludf.DUMMYFUNCTION("max(split(J39,"",""))&gt;=8"),FALSE)</f>
        <v>0</v>
      </c>
      <c r="R39" s="55" t="b">
        <f t="shared" si="3"/>
        <v>0</v>
      </c>
      <c r="S39" s="55"/>
    </row>
    <row r="40">
      <c r="A40" s="55" t="s">
        <v>2924</v>
      </c>
      <c r="B40" s="55">
        <v>45.0</v>
      </c>
      <c r="C40" s="55" t="s">
        <v>3282</v>
      </c>
      <c r="D40" s="55" t="s">
        <v>8</v>
      </c>
      <c r="E40" s="42" t="s">
        <v>3309</v>
      </c>
      <c r="F40" s="55" t="s">
        <v>3310</v>
      </c>
      <c r="G40" s="55" t="s">
        <v>3311</v>
      </c>
      <c r="H40" s="55" t="str">
        <f t="shared" si="1"/>
        <v>(P5,P11)</v>
      </c>
      <c r="I40" s="55" t="str">
        <f>IFERROR(__xludf.DUMMYFUNCTION("concatenate(ARRAYFORMULA(""P"" &amp; SPLIT(J40, "","") &amp; "",""))"),"P5,P11,")</f>
        <v>P5,P11,</v>
      </c>
      <c r="J40" s="55" t="str">
        <f>IFERROR(__xludf.DUMMYFUNCTION("ArrayFormula(textjoin("", "",true,unique(trim(split(M40,"","")),true)))"),"5, 11")</f>
        <v>5, 11</v>
      </c>
      <c r="K40" s="55" t="s">
        <v>3312</v>
      </c>
      <c r="L40" s="55" t="s">
        <v>3077</v>
      </c>
      <c r="M40" s="55" t="str">
        <f t="shared" si="2"/>
        <v>05, 11</v>
      </c>
      <c r="N40" s="55">
        <f>IFERROR(__xludf.DUMMYFUNCTION("countunique(split(M40, "", ""))"),2.0)</f>
        <v>2</v>
      </c>
      <c r="O40" s="55">
        <f>IFERROR(__xludf.DUMMYFUNCTION("countif(split(K40,"",""),C40)"),0.0)</f>
        <v>0</v>
      </c>
      <c r="P40" s="55" t="b">
        <f>IFERROR(__xludf.DUMMYFUNCTION("MIN(split(J40,"",""))&lt;=7"),TRUE)</f>
        <v>1</v>
      </c>
      <c r="Q40" s="55" t="b">
        <f>IFERROR(__xludf.DUMMYFUNCTION("max(split(J40,"",""))&gt;=8"),TRUE)</f>
        <v>1</v>
      </c>
      <c r="R40" s="55" t="b">
        <f t="shared" si="3"/>
        <v>1</v>
      </c>
      <c r="S40" s="55"/>
    </row>
    <row r="41">
      <c r="A41" s="55" t="s">
        <v>2926</v>
      </c>
      <c r="B41" s="55">
        <v>46.0</v>
      </c>
      <c r="C41" s="55" t="s">
        <v>3282</v>
      </c>
      <c r="D41" s="55" t="s">
        <v>8</v>
      </c>
      <c r="E41" s="42" t="s">
        <v>3313</v>
      </c>
      <c r="F41" s="55" t="s">
        <v>3314</v>
      </c>
      <c r="G41" s="55" t="s">
        <v>3315</v>
      </c>
      <c r="H41" s="55" t="str">
        <f t="shared" si="1"/>
        <v>(P5,P12)</v>
      </c>
      <c r="I41" s="55" t="str">
        <f>IFERROR(__xludf.DUMMYFUNCTION("concatenate(ARRAYFORMULA(""P"" &amp; SPLIT(J41, "","") &amp; "",""))"),"P5,P12,")</f>
        <v>P5,P12,</v>
      </c>
      <c r="J41" s="55" t="str">
        <f>IFERROR(__xludf.DUMMYFUNCTION("ArrayFormula(textjoin("", "",true,unique(trim(split(M41,"","")),true)))"),"5, 12")</f>
        <v>5, 12</v>
      </c>
      <c r="K41" s="55" t="s">
        <v>3316</v>
      </c>
      <c r="L41" s="55" t="s">
        <v>3317</v>
      </c>
      <c r="M41" s="55" t="str">
        <f t="shared" si="2"/>
        <v>05, 12, 12</v>
      </c>
      <c r="N41" s="55">
        <f>IFERROR(__xludf.DUMMYFUNCTION("countunique(split(M41, "", ""))"),2.0)</f>
        <v>2</v>
      </c>
      <c r="O41" s="55">
        <f>IFERROR(__xludf.DUMMYFUNCTION("countif(split(K41,"",""),C41)"),0.0)</f>
        <v>0</v>
      </c>
      <c r="P41" s="55" t="b">
        <f>IFERROR(__xludf.DUMMYFUNCTION("MIN(split(J41,"",""))&lt;=7"),TRUE)</f>
        <v>1</v>
      </c>
      <c r="Q41" s="55" t="b">
        <f>IFERROR(__xludf.DUMMYFUNCTION("max(split(J41,"",""))&gt;=8"),TRUE)</f>
        <v>1</v>
      </c>
      <c r="R41" s="55" t="b">
        <f t="shared" si="3"/>
        <v>1</v>
      </c>
      <c r="S41" s="55"/>
    </row>
    <row r="42">
      <c r="A42" s="55" t="s">
        <v>2946</v>
      </c>
      <c r="B42" s="55">
        <v>47.0</v>
      </c>
      <c r="C42" s="56" t="s">
        <v>3318</v>
      </c>
      <c r="D42" s="55" t="s">
        <v>8</v>
      </c>
      <c r="E42" s="42" t="s">
        <v>2947</v>
      </c>
      <c r="F42" s="55" t="s">
        <v>2313</v>
      </c>
      <c r="G42" s="55"/>
      <c r="H42" s="55" t="str">
        <f t="shared" si="1"/>
        <v>(P6)</v>
      </c>
      <c r="I42" s="55" t="str">
        <f>IFERROR(__xludf.DUMMYFUNCTION("concatenate(ARRAYFORMULA(""P"" &amp; SPLIT(J42, "","") &amp; "",""))"),"P6,")</f>
        <v>P6,</v>
      </c>
      <c r="J42" s="55" t="str">
        <f>IFERROR(__xludf.DUMMYFUNCTION("ArrayFormula(textjoin("", "",true,unique(trim(split(M42,"","")),true)))"),"6")</f>
        <v>6</v>
      </c>
      <c r="K42" s="55"/>
      <c r="L42" s="55"/>
      <c r="M42" s="55" t="str">
        <f t="shared" si="2"/>
        <v>06</v>
      </c>
      <c r="N42" s="55">
        <f>IFERROR(__xludf.DUMMYFUNCTION("countunique(split(M42, "", ""))"),1.0)</f>
        <v>1</v>
      </c>
      <c r="O42" s="55">
        <f>IFERROR(__xludf.DUMMYFUNCTION("countif(split(K42,"",""),C42)"),0.0)</f>
        <v>0</v>
      </c>
      <c r="P42" s="55" t="b">
        <f>IFERROR(__xludf.DUMMYFUNCTION("MIN(split(J42,"",""))&lt;=7"),TRUE)</f>
        <v>1</v>
      </c>
      <c r="Q42" s="55" t="b">
        <f>IFERROR(__xludf.DUMMYFUNCTION("max(split(J42,"",""))&gt;=8"),FALSE)</f>
        <v>0</v>
      </c>
      <c r="R42" s="55" t="b">
        <f t="shared" si="3"/>
        <v>0</v>
      </c>
      <c r="S42" s="55"/>
    </row>
    <row r="43">
      <c r="A43" s="55" t="s">
        <v>2950</v>
      </c>
      <c r="B43" s="55">
        <v>48.0</v>
      </c>
      <c r="C43" s="56" t="s">
        <v>3252</v>
      </c>
      <c r="D43" s="55" t="s">
        <v>8</v>
      </c>
      <c r="E43" s="42" t="s">
        <v>3319</v>
      </c>
      <c r="F43" s="55" t="s">
        <v>3320</v>
      </c>
      <c r="G43" s="55" t="s">
        <v>2318</v>
      </c>
      <c r="H43" s="55" t="str">
        <f t="shared" si="1"/>
        <v>(P7)</v>
      </c>
      <c r="I43" s="55" t="str">
        <f>IFERROR(__xludf.DUMMYFUNCTION("concatenate(ARRAYFORMULA(""P"" &amp; SPLIT(J43, "","") &amp; "",""))"),"P7,")</f>
        <v>P7,</v>
      </c>
      <c r="J43" s="55" t="str">
        <f>IFERROR(__xludf.DUMMYFUNCTION("ArrayFormula(textjoin("", "",true,unique(trim(split(M43,"","")),true)))"),"7")</f>
        <v>7</v>
      </c>
      <c r="K43" s="55" t="s">
        <v>3252</v>
      </c>
      <c r="L43" s="55" t="s">
        <v>2958</v>
      </c>
      <c r="M43" s="55" t="str">
        <f t="shared" si="2"/>
        <v>07, 07</v>
      </c>
      <c r="N43" s="55">
        <f>IFERROR(__xludf.DUMMYFUNCTION("countunique(split(M43, "", ""))"),1.0)</f>
        <v>1</v>
      </c>
      <c r="O43" s="55">
        <f>IFERROR(__xludf.DUMMYFUNCTION("countif(split(K43,"",""),C43)"),1.0)</f>
        <v>1</v>
      </c>
      <c r="P43" s="55" t="b">
        <f>IFERROR(__xludf.DUMMYFUNCTION("MIN(split(J43,"",""))&lt;=7"),TRUE)</f>
        <v>1</v>
      </c>
      <c r="Q43" s="55" t="b">
        <f>IFERROR(__xludf.DUMMYFUNCTION("max(split(J43,"",""))&gt;=8"),FALSE)</f>
        <v>0</v>
      </c>
      <c r="R43" s="55" t="b">
        <f t="shared" si="3"/>
        <v>0</v>
      </c>
      <c r="S43" s="55"/>
    </row>
    <row r="44">
      <c r="A44" s="55" t="s">
        <v>2962</v>
      </c>
      <c r="B44" s="55">
        <v>49.0</v>
      </c>
      <c r="C44" s="56" t="s">
        <v>3252</v>
      </c>
      <c r="D44" s="55" t="s">
        <v>8</v>
      </c>
      <c r="E44" s="42" t="s">
        <v>3321</v>
      </c>
      <c r="F44" s="55" t="s">
        <v>2357</v>
      </c>
      <c r="G44" s="55"/>
      <c r="H44" s="55" t="str">
        <f t="shared" si="1"/>
        <v>(P7)</v>
      </c>
      <c r="I44" s="55" t="str">
        <f>IFERROR(__xludf.DUMMYFUNCTION("concatenate(ARRAYFORMULA(""P"" &amp; SPLIT(J44, "","") &amp; "",""))"),"P7,")</f>
        <v>P7,</v>
      </c>
      <c r="J44" s="55" t="str">
        <f>IFERROR(__xludf.DUMMYFUNCTION("ArrayFormula(textjoin("", "",true,unique(trim(split(M44,"","")),true)))"),"7")</f>
        <v>7</v>
      </c>
      <c r="K44" s="55"/>
      <c r="L44" s="55"/>
      <c r="M44" s="55" t="str">
        <f t="shared" si="2"/>
        <v>07</v>
      </c>
      <c r="N44" s="55">
        <f>IFERROR(__xludf.DUMMYFUNCTION("countunique(split(M44, "", ""))"),1.0)</f>
        <v>1</v>
      </c>
      <c r="O44" s="55">
        <f>IFERROR(__xludf.DUMMYFUNCTION("countif(split(K44,"",""),C44)"),0.0)</f>
        <v>0</v>
      </c>
      <c r="P44" s="55" t="b">
        <f>IFERROR(__xludf.DUMMYFUNCTION("MIN(split(J44,"",""))&lt;=7"),TRUE)</f>
        <v>1</v>
      </c>
      <c r="Q44" s="55" t="b">
        <f>IFERROR(__xludf.DUMMYFUNCTION("max(split(J44,"",""))&gt;=8"),FALSE)</f>
        <v>0</v>
      </c>
      <c r="R44" s="55" t="b">
        <f t="shared" si="3"/>
        <v>0</v>
      </c>
      <c r="S44" s="55"/>
    </row>
    <row r="45">
      <c r="A45" s="55" t="s">
        <v>2964</v>
      </c>
      <c r="B45" s="55">
        <v>50.0</v>
      </c>
      <c r="C45" s="55" t="s">
        <v>3252</v>
      </c>
      <c r="D45" s="55" t="s">
        <v>8</v>
      </c>
      <c r="E45" s="42" t="s">
        <v>3322</v>
      </c>
      <c r="F45" s="55" t="s">
        <v>3323</v>
      </c>
      <c r="G45" s="55" t="s">
        <v>3324</v>
      </c>
      <c r="H45" s="55" t="str">
        <f t="shared" si="1"/>
        <v>(P7,P12,P14)</v>
      </c>
      <c r="I45" s="55" t="str">
        <f>IFERROR(__xludf.DUMMYFUNCTION("concatenate(ARRAYFORMULA(""P"" &amp; SPLIT(J45, "","") &amp; "",""))"),"P7,P12,P14,")</f>
        <v>P7,P12,P14,</v>
      </c>
      <c r="J45" s="55" t="str">
        <f>IFERROR(__xludf.DUMMYFUNCTION("ArrayFormula(textjoin("", "",true,unique(trim(split(M45,"","")),true)))"),"7, 12, 14")</f>
        <v>7, 12, 14</v>
      </c>
      <c r="K45" s="55" t="s">
        <v>3325</v>
      </c>
      <c r="L45" s="55" t="s">
        <v>3326</v>
      </c>
      <c r="M45" s="55" t="str">
        <f t="shared" si="2"/>
        <v>07, 12, 12, 14</v>
      </c>
      <c r="N45" s="55">
        <f>IFERROR(__xludf.DUMMYFUNCTION("countunique(split(M45, "", ""))"),3.0)</f>
        <v>3</v>
      </c>
      <c r="O45" s="55">
        <f>IFERROR(__xludf.DUMMYFUNCTION("countif(split(K45,"",""),C45)"),0.0)</f>
        <v>0</v>
      </c>
      <c r="P45" s="55" t="b">
        <f>IFERROR(__xludf.DUMMYFUNCTION("MIN(split(J45,"",""))&lt;=7"),TRUE)</f>
        <v>1</v>
      </c>
      <c r="Q45" s="55" t="b">
        <f>IFERROR(__xludf.DUMMYFUNCTION("max(split(J45,"",""))&gt;=8"),TRUE)</f>
        <v>1</v>
      </c>
      <c r="R45" s="55" t="b">
        <f t="shared" si="3"/>
        <v>1</v>
      </c>
      <c r="S45" s="55"/>
    </row>
    <row r="46">
      <c r="A46" s="54" t="s">
        <v>2970</v>
      </c>
      <c r="B46" s="54">
        <v>51.0</v>
      </c>
      <c r="C46" s="54" t="s">
        <v>3252</v>
      </c>
      <c r="D46" s="54" t="s">
        <v>8</v>
      </c>
      <c r="E46" s="65" t="s">
        <v>3327</v>
      </c>
      <c r="F46" s="54" t="s">
        <v>2378</v>
      </c>
      <c r="G46" s="54"/>
      <c r="H46" s="54" t="str">
        <f t="shared" si="1"/>
        <v>(P7)</v>
      </c>
      <c r="I46" s="54" t="str">
        <f>IFERROR(__xludf.DUMMYFUNCTION("concatenate(ARRAYFORMULA(""P"" &amp; SPLIT(J46, "","") &amp; "",""))"),"P7,")</f>
        <v>P7,</v>
      </c>
      <c r="J46" s="54" t="str">
        <f>IFERROR(__xludf.DUMMYFUNCTION("ArrayFormula(textjoin("", "",true,unique(trim(split(M46,"","")),true)))"),"7")</f>
        <v>7</v>
      </c>
      <c r="K46" s="54"/>
      <c r="L46" s="54"/>
      <c r="M46" s="54" t="str">
        <f t="shared" si="2"/>
        <v>07</v>
      </c>
      <c r="N46" s="54">
        <f>IFERROR(__xludf.DUMMYFUNCTION("countunique(split(M46, "", ""))"),1.0)</f>
        <v>1</v>
      </c>
      <c r="O46" s="54">
        <f>IFERROR(__xludf.DUMMYFUNCTION("countif(split(K46,"",""),C46)"),0.0)</f>
        <v>0</v>
      </c>
      <c r="P46" s="55" t="b">
        <f>IFERROR(__xludf.DUMMYFUNCTION("MIN(split(J46,"",""))&lt;=7"),TRUE)</f>
        <v>1</v>
      </c>
      <c r="Q46" s="55" t="b">
        <f>IFERROR(__xludf.DUMMYFUNCTION("max(split(J46,"",""))&gt;=8"),FALSE)</f>
        <v>0</v>
      </c>
      <c r="R46" s="55" t="b">
        <f t="shared" si="3"/>
        <v>0</v>
      </c>
      <c r="S46" s="54"/>
    </row>
    <row r="47">
      <c r="A47" s="54" t="s">
        <v>2972</v>
      </c>
      <c r="B47" s="54">
        <v>52.0</v>
      </c>
      <c r="C47" s="54" t="s">
        <v>3252</v>
      </c>
      <c r="D47" s="54" t="s">
        <v>8</v>
      </c>
      <c r="E47" s="65" t="s">
        <v>3328</v>
      </c>
      <c r="F47" s="54" t="s">
        <v>2380</v>
      </c>
      <c r="G47" s="54"/>
      <c r="H47" s="54" t="str">
        <f t="shared" si="1"/>
        <v>(P7)</v>
      </c>
      <c r="I47" s="54" t="str">
        <f>IFERROR(__xludf.DUMMYFUNCTION("concatenate(ARRAYFORMULA(""P"" &amp; SPLIT(J47, "","") &amp; "",""))"),"P7,")</f>
        <v>P7,</v>
      </c>
      <c r="J47" s="54" t="str">
        <f>IFERROR(__xludf.DUMMYFUNCTION("ArrayFormula(textjoin("", "",true,unique(trim(split(M47,"","")),true)))"),"7")</f>
        <v>7</v>
      </c>
      <c r="K47" s="54"/>
      <c r="L47" s="54"/>
      <c r="M47" s="54" t="str">
        <f t="shared" si="2"/>
        <v>07</v>
      </c>
      <c r="N47" s="54">
        <f>IFERROR(__xludf.DUMMYFUNCTION("countunique(split(M47, "", ""))"),1.0)</f>
        <v>1</v>
      </c>
      <c r="O47" s="54">
        <f>IFERROR(__xludf.DUMMYFUNCTION("countif(split(K47,"",""),C47)"),0.0)</f>
        <v>0</v>
      </c>
      <c r="P47" s="55" t="b">
        <f>IFERROR(__xludf.DUMMYFUNCTION("MIN(split(J47,"",""))&lt;=7"),TRUE)</f>
        <v>1</v>
      </c>
      <c r="Q47" s="55" t="b">
        <f>IFERROR(__xludf.DUMMYFUNCTION("max(split(J47,"",""))&gt;=8"),FALSE)</f>
        <v>0</v>
      </c>
      <c r="R47" s="55" t="b">
        <f t="shared" si="3"/>
        <v>0</v>
      </c>
      <c r="S47" s="54"/>
    </row>
    <row r="48">
      <c r="A48" s="54" t="s">
        <v>2979</v>
      </c>
      <c r="B48" s="54">
        <v>53.0</v>
      </c>
      <c r="C48" s="66" t="s">
        <v>3329</v>
      </c>
      <c r="D48" s="54" t="s">
        <v>8</v>
      </c>
      <c r="E48" s="65" t="s">
        <v>3330</v>
      </c>
      <c r="F48" s="54" t="s">
        <v>2426</v>
      </c>
      <c r="G48" s="54"/>
      <c r="H48" s="54" t="str">
        <f t="shared" si="1"/>
        <v>(P8)</v>
      </c>
      <c r="I48" s="54" t="str">
        <f>IFERROR(__xludf.DUMMYFUNCTION("concatenate(ARRAYFORMULA(""P"" &amp; SPLIT(J48, "","") &amp; "",""))"),"P8,")</f>
        <v>P8,</v>
      </c>
      <c r="J48" s="54" t="str">
        <f>IFERROR(__xludf.DUMMYFUNCTION("ArrayFormula(textjoin("", "",true,unique(trim(split(M48,"","")),true)))"),"8")</f>
        <v>8</v>
      </c>
      <c r="K48" s="54"/>
      <c r="L48" s="54"/>
      <c r="M48" s="54" t="str">
        <f t="shared" si="2"/>
        <v>08</v>
      </c>
      <c r="N48" s="54">
        <f>IFERROR(__xludf.DUMMYFUNCTION("countunique(split(M48, "", ""))"),1.0)</f>
        <v>1</v>
      </c>
      <c r="O48" s="54">
        <f>IFERROR(__xludf.DUMMYFUNCTION("countif(split(K48,"",""),C48)"),0.0)</f>
        <v>0</v>
      </c>
      <c r="P48" s="55" t="b">
        <f>IFERROR(__xludf.DUMMYFUNCTION("MIN(split(J48,"",""))&lt;=7"),FALSE)</f>
        <v>0</v>
      </c>
      <c r="Q48" s="55" t="b">
        <f>IFERROR(__xludf.DUMMYFUNCTION("max(split(J48,"",""))&gt;=8"),TRUE)</f>
        <v>1</v>
      </c>
      <c r="R48" s="55" t="b">
        <f t="shared" si="3"/>
        <v>0</v>
      </c>
      <c r="S48" s="54"/>
    </row>
    <row r="49">
      <c r="A49" s="54" t="s">
        <v>2981</v>
      </c>
      <c r="B49" s="54">
        <v>54.0</v>
      </c>
      <c r="C49" s="54" t="s">
        <v>3329</v>
      </c>
      <c r="D49" s="54" t="s">
        <v>8</v>
      </c>
      <c r="E49" s="65" t="s">
        <v>506</v>
      </c>
      <c r="F49" s="54" t="s">
        <v>507</v>
      </c>
      <c r="G49" s="54"/>
      <c r="H49" s="54" t="str">
        <f t="shared" si="1"/>
        <v>(P8)</v>
      </c>
      <c r="I49" s="54" t="str">
        <f>IFERROR(__xludf.DUMMYFUNCTION("concatenate(ARRAYFORMULA(""P"" &amp; SPLIT(J49, "","") &amp; "",""))"),"P8,")</f>
        <v>P8,</v>
      </c>
      <c r="J49" s="54" t="str">
        <f>IFERROR(__xludf.DUMMYFUNCTION("ArrayFormula(textjoin("", "",true,unique(trim(split(M49,"","")),true)))"),"8")</f>
        <v>8</v>
      </c>
      <c r="K49" s="54"/>
      <c r="L49" s="54"/>
      <c r="M49" s="54" t="str">
        <f t="shared" si="2"/>
        <v>08</v>
      </c>
      <c r="N49" s="54">
        <f>IFERROR(__xludf.DUMMYFUNCTION("countunique(split(M49, "", ""))"),1.0)</f>
        <v>1</v>
      </c>
      <c r="O49" s="54">
        <f>IFERROR(__xludf.DUMMYFUNCTION("countif(split(K49,"",""),C49)"),0.0)</f>
        <v>0</v>
      </c>
      <c r="P49" s="55" t="b">
        <f>IFERROR(__xludf.DUMMYFUNCTION("MIN(split(J49,"",""))&lt;=7"),FALSE)</f>
        <v>0</v>
      </c>
      <c r="Q49" s="55" t="b">
        <f>IFERROR(__xludf.DUMMYFUNCTION("max(split(J49,"",""))&gt;=8"),TRUE)</f>
        <v>1</v>
      </c>
      <c r="R49" s="55" t="b">
        <f t="shared" si="3"/>
        <v>0</v>
      </c>
      <c r="S49" s="54"/>
    </row>
    <row r="50">
      <c r="A50" s="54" t="s">
        <v>2984</v>
      </c>
      <c r="B50" s="54">
        <v>55.0</v>
      </c>
      <c r="C50" s="54" t="s">
        <v>3329</v>
      </c>
      <c r="D50" s="54" t="s">
        <v>8</v>
      </c>
      <c r="E50" s="65" t="s">
        <v>3331</v>
      </c>
      <c r="F50" s="54" t="s">
        <v>3332</v>
      </c>
      <c r="G50" s="54" t="s">
        <v>3333</v>
      </c>
      <c r="H50" s="54" t="str">
        <f t="shared" si="1"/>
        <v>(P8,P9)</v>
      </c>
      <c r="I50" s="54" t="str">
        <f>IFERROR(__xludf.DUMMYFUNCTION("concatenate(ARRAYFORMULA(""P"" &amp; SPLIT(J50, "","") &amp; "",""))"),"P8,P9,")</f>
        <v>P8,P9,</v>
      </c>
      <c r="J50" s="54" t="str">
        <f>IFERROR(__xludf.DUMMYFUNCTION("ArrayFormula(textjoin("", "",true,unique(trim(split(M50,"","")),true)))"),"8, 9")</f>
        <v>8, 9</v>
      </c>
      <c r="K50" s="54" t="s">
        <v>3266</v>
      </c>
      <c r="L50" s="54" t="s">
        <v>3032</v>
      </c>
      <c r="M50" s="54" t="str">
        <f t="shared" si="2"/>
        <v>08, 09</v>
      </c>
      <c r="N50" s="54">
        <f>IFERROR(__xludf.DUMMYFUNCTION("countunique(split(M50, "", ""))"),2.0)</f>
        <v>2</v>
      </c>
      <c r="O50" s="54">
        <f>IFERROR(__xludf.DUMMYFUNCTION("countif(split(K50,"",""),C50)"),0.0)</f>
        <v>0</v>
      </c>
      <c r="P50" s="55" t="b">
        <f>IFERROR(__xludf.DUMMYFUNCTION("MIN(split(J50,"",""))&lt;=7"),FALSE)</f>
        <v>0</v>
      </c>
      <c r="Q50" s="55" t="b">
        <f>IFERROR(__xludf.DUMMYFUNCTION("max(split(J50,"",""))&gt;=8"),TRUE)</f>
        <v>1</v>
      </c>
      <c r="R50" s="55" t="b">
        <f t="shared" si="3"/>
        <v>0</v>
      </c>
      <c r="S50" s="54"/>
    </row>
    <row r="51">
      <c r="A51" s="54" t="s">
        <v>2985</v>
      </c>
      <c r="B51" s="54">
        <v>56.0</v>
      </c>
      <c r="C51" s="54" t="s">
        <v>3329</v>
      </c>
      <c r="D51" s="54" t="s">
        <v>8</v>
      </c>
      <c r="E51" s="65" t="s">
        <v>3334</v>
      </c>
      <c r="F51" s="54" t="s">
        <v>3335</v>
      </c>
      <c r="G51" s="54" t="s">
        <v>3336</v>
      </c>
      <c r="H51" s="54" t="str">
        <f t="shared" si="1"/>
        <v>(P8,P10)</v>
      </c>
      <c r="I51" s="54" t="str">
        <f>IFERROR(__xludf.DUMMYFUNCTION("concatenate(ARRAYFORMULA(""P"" &amp; SPLIT(J51, "","") &amp; "",""))"),"P8,P10,")</f>
        <v>P8,P10,</v>
      </c>
      <c r="J51" s="54" t="str">
        <f>IFERROR(__xludf.DUMMYFUNCTION("ArrayFormula(textjoin("", "",true,unique(trim(split(M51,"","")),true)))"),"8, 10")</f>
        <v>8, 10</v>
      </c>
      <c r="K51" s="54" t="s">
        <v>3337</v>
      </c>
      <c r="L51" s="54" t="s">
        <v>3338</v>
      </c>
      <c r="M51" s="54" t="str">
        <f t="shared" si="2"/>
        <v>08, 08, 08, 10</v>
      </c>
      <c r="N51" s="54">
        <f>IFERROR(__xludf.DUMMYFUNCTION("countunique(split(M51, "", ""))"),2.0)</f>
        <v>2</v>
      </c>
      <c r="O51" s="54">
        <f>IFERROR(__xludf.DUMMYFUNCTION("countif(split(K51,"",""),C51)"),2.0)</f>
        <v>2</v>
      </c>
      <c r="P51" s="55" t="b">
        <f>IFERROR(__xludf.DUMMYFUNCTION("MIN(split(J51,"",""))&lt;=7"),FALSE)</f>
        <v>0</v>
      </c>
      <c r="Q51" s="55" t="b">
        <f>IFERROR(__xludf.DUMMYFUNCTION("max(split(J51,"",""))&gt;=8"),TRUE)</f>
        <v>1</v>
      </c>
      <c r="R51" s="55" t="b">
        <f t="shared" si="3"/>
        <v>0</v>
      </c>
      <c r="S51" s="54" t="s">
        <v>3339</v>
      </c>
    </row>
    <row r="52">
      <c r="A52" s="54" t="s">
        <v>2991</v>
      </c>
      <c r="B52" s="54">
        <v>57.0</v>
      </c>
      <c r="C52" s="54" t="s">
        <v>3329</v>
      </c>
      <c r="D52" s="54" t="s">
        <v>8</v>
      </c>
      <c r="E52" s="65" t="s">
        <v>2992</v>
      </c>
      <c r="F52" s="54" t="s">
        <v>2450</v>
      </c>
      <c r="G52" s="54"/>
      <c r="H52" s="54" t="str">
        <f t="shared" si="1"/>
        <v>(P8)</v>
      </c>
      <c r="I52" s="54" t="str">
        <f>IFERROR(__xludf.DUMMYFUNCTION("concatenate(ARRAYFORMULA(""P"" &amp; SPLIT(J52, "","") &amp; "",""))"),"P8,")</f>
        <v>P8,</v>
      </c>
      <c r="J52" s="54" t="str">
        <f>IFERROR(__xludf.DUMMYFUNCTION("ArrayFormula(textjoin("", "",true,unique(trim(split(M52,"","")),true)))"),"8")</f>
        <v>8</v>
      </c>
      <c r="K52" s="54"/>
      <c r="L52" s="54"/>
      <c r="M52" s="54" t="str">
        <f t="shared" si="2"/>
        <v>08</v>
      </c>
      <c r="N52" s="54">
        <f>IFERROR(__xludf.DUMMYFUNCTION("countunique(split(M52, "", ""))"),1.0)</f>
        <v>1</v>
      </c>
      <c r="O52" s="54">
        <f>IFERROR(__xludf.DUMMYFUNCTION("countif(split(K52,"",""),C52)"),0.0)</f>
        <v>0</v>
      </c>
      <c r="P52" s="55" t="b">
        <f>IFERROR(__xludf.DUMMYFUNCTION("MIN(split(J52,"",""))&lt;=7"),FALSE)</f>
        <v>0</v>
      </c>
      <c r="Q52" s="55" t="b">
        <f>IFERROR(__xludf.DUMMYFUNCTION("max(split(J52,"",""))&gt;=8"),TRUE)</f>
        <v>1</v>
      </c>
      <c r="R52" s="55" t="b">
        <f t="shared" si="3"/>
        <v>0</v>
      </c>
      <c r="S52" s="54"/>
    </row>
    <row r="53">
      <c r="A53" s="54" t="s">
        <v>2999</v>
      </c>
      <c r="B53" s="54">
        <v>58.0</v>
      </c>
      <c r="C53" s="54" t="s">
        <v>3329</v>
      </c>
      <c r="D53" s="54" t="s">
        <v>8</v>
      </c>
      <c r="E53" s="65" t="s">
        <v>2457</v>
      </c>
      <c r="F53" s="54" t="s">
        <v>2457</v>
      </c>
      <c r="G53" s="54"/>
      <c r="H53" s="54" t="str">
        <f t="shared" si="1"/>
        <v>(P8)</v>
      </c>
      <c r="I53" s="54" t="str">
        <f>IFERROR(__xludf.DUMMYFUNCTION("concatenate(ARRAYFORMULA(""P"" &amp; SPLIT(J53, "","") &amp; "",""))"),"P8,")</f>
        <v>P8,</v>
      </c>
      <c r="J53" s="54" t="str">
        <f>IFERROR(__xludf.DUMMYFUNCTION("ArrayFormula(textjoin("", "",true,unique(trim(split(M53,"","")),true)))"),"8")</f>
        <v>8</v>
      </c>
      <c r="K53" s="54"/>
      <c r="L53" s="54"/>
      <c r="M53" s="54" t="str">
        <f t="shared" si="2"/>
        <v>08</v>
      </c>
      <c r="N53" s="54">
        <f>IFERROR(__xludf.DUMMYFUNCTION("countunique(split(M53, "", ""))"),1.0)</f>
        <v>1</v>
      </c>
      <c r="O53" s="54">
        <f>IFERROR(__xludf.DUMMYFUNCTION("countif(split(K53,"",""),C53)"),0.0)</f>
        <v>0</v>
      </c>
      <c r="P53" s="55" t="b">
        <f>IFERROR(__xludf.DUMMYFUNCTION("MIN(split(J53,"",""))&lt;=7"),FALSE)</f>
        <v>0</v>
      </c>
      <c r="Q53" s="55" t="b">
        <f>IFERROR(__xludf.DUMMYFUNCTION("max(split(J53,"",""))&gt;=8"),TRUE)</f>
        <v>1</v>
      </c>
      <c r="R53" s="55" t="b">
        <f t="shared" si="3"/>
        <v>0</v>
      </c>
      <c r="S53" s="54"/>
    </row>
    <row r="54">
      <c r="A54" s="54" t="s">
        <v>3008</v>
      </c>
      <c r="B54" s="54">
        <v>59.0</v>
      </c>
      <c r="C54" s="66" t="s">
        <v>3266</v>
      </c>
      <c r="D54" s="54" t="s">
        <v>8</v>
      </c>
      <c r="E54" s="65" t="s">
        <v>556</v>
      </c>
      <c r="F54" s="54" t="s">
        <v>2471</v>
      </c>
      <c r="G54" s="54"/>
      <c r="H54" s="54" t="str">
        <f t="shared" si="1"/>
        <v>(P9)</v>
      </c>
      <c r="I54" s="54" t="str">
        <f>IFERROR(__xludf.DUMMYFUNCTION("concatenate(ARRAYFORMULA(""P"" &amp; SPLIT(J54, "","") &amp; "",""))"),"P9,")</f>
        <v>P9,</v>
      </c>
      <c r="J54" s="54" t="str">
        <f>IFERROR(__xludf.DUMMYFUNCTION("ArrayFormula(textjoin("", "",true,unique(trim(split(M54,"","")),true)))"),"9")</f>
        <v>9</v>
      </c>
      <c r="K54" s="54"/>
      <c r="L54" s="54"/>
      <c r="M54" s="54" t="str">
        <f t="shared" si="2"/>
        <v>09</v>
      </c>
      <c r="N54" s="54">
        <f>IFERROR(__xludf.DUMMYFUNCTION("countunique(split(M54, "", ""))"),1.0)</f>
        <v>1</v>
      </c>
      <c r="O54" s="54">
        <f>IFERROR(__xludf.DUMMYFUNCTION("countif(split(K54,"",""),C54)"),0.0)</f>
        <v>0</v>
      </c>
      <c r="P54" s="55" t="b">
        <f>IFERROR(__xludf.DUMMYFUNCTION("MIN(split(J54,"",""))&lt;=7"),FALSE)</f>
        <v>0</v>
      </c>
      <c r="Q54" s="55" t="b">
        <f>IFERROR(__xludf.DUMMYFUNCTION("max(split(J54,"",""))&gt;=8"),TRUE)</f>
        <v>1</v>
      </c>
      <c r="R54" s="55" t="b">
        <f t="shared" si="3"/>
        <v>0</v>
      </c>
      <c r="S54" s="54"/>
    </row>
    <row r="55">
      <c r="A55" s="54" t="s">
        <v>3011</v>
      </c>
      <c r="B55" s="54">
        <v>60.0</v>
      </c>
      <c r="C55" s="54" t="s">
        <v>3266</v>
      </c>
      <c r="D55" s="54" t="s">
        <v>8</v>
      </c>
      <c r="E55" s="65" t="s">
        <v>3012</v>
      </c>
      <c r="F55" s="54" t="s">
        <v>2477</v>
      </c>
      <c r="G55" s="54"/>
      <c r="H55" s="54" t="str">
        <f t="shared" si="1"/>
        <v>(P9)</v>
      </c>
      <c r="I55" s="54" t="str">
        <f>IFERROR(__xludf.DUMMYFUNCTION("concatenate(ARRAYFORMULA(""P"" &amp; SPLIT(J55, "","") &amp; "",""))"),"P9,")</f>
        <v>P9,</v>
      </c>
      <c r="J55" s="54" t="str">
        <f>IFERROR(__xludf.DUMMYFUNCTION("ArrayFormula(textjoin("", "",true,unique(trim(split(M55,"","")),true)))"),"9")</f>
        <v>9</v>
      </c>
      <c r="K55" s="54"/>
      <c r="L55" s="54"/>
      <c r="M55" s="54" t="str">
        <f t="shared" si="2"/>
        <v>09</v>
      </c>
      <c r="N55" s="54">
        <f>IFERROR(__xludf.DUMMYFUNCTION("countunique(split(M55, "", ""))"),1.0)</f>
        <v>1</v>
      </c>
      <c r="O55" s="54">
        <f>IFERROR(__xludf.DUMMYFUNCTION("countif(split(K55,"",""),C55)"),0.0)</f>
        <v>0</v>
      </c>
      <c r="P55" s="55" t="b">
        <f>IFERROR(__xludf.DUMMYFUNCTION("MIN(split(J55,"",""))&lt;=7"),FALSE)</f>
        <v>0</v>
      </c>
      <c r="Q55" s="55" t="b">
        <f>IFERROR(__xludf.DUMMYFUNCTION("max(split(J55,"",""))&gt;=8"),TRUE)</f>
        <v>1</v>
      </c>
      <c r="R55" s="55" t="b">
        <f t="shared" si="3"/>
        <v>0</v>
      </c>
      <c r="S55" s="54"/>
    </row>
    <row r="56">
      <c r="A56" s="54" t="s">
        <v>3019</v>
      </c>
      <c r="B56" s="54">
        <v>61.0</v>
      </c>
      <c r="C56" s="66" t="s">
        <v>3266</v>
      </c>
      <c r="D56" s="54" t="s">
        <v>8</v>
      </c>
      <c r="E56" s="65" t="s">
        <v>3020</v>
      </c>
      <c r="F56" s="54" t="s">
        <v>2489</v>
      </c>
      <c r="G56" s="54"/>
      <c r="H56" s="54" t="str">
        <f t="shared" si="1"/>
        <v>(P9)</v>
      </c>
      <c r="I56" s="54" t="str">
        <f>IFERROR(__xludf.DUMMYFUNCTION("concatenate(ARRAYFORMULA(""P"" &amp; SPLIT(J56, "","") &amp; "",""))"),"P9,")</f>
        <v>P9,</v>
      </c>
      <c r="J56" s="54" t="str">
        <f>IFERROR(__xludf.DUMMYFUNCTION("ArrayFormula(textjoin("", "",true,unique(trim(split(M56,"","")),true)))"),"9")</f>
        <v>9</v>
      </c>
      <c r="K56" s="54"/>
      <c r="L56" s="54"/>
      <c r="M56" s="54" t="str">
        <f t="shared" si="2"/>
        <v>09</v>
      </c>
      <c r="N56" s="54">
        <f>IFERROR(__xludf.DUMMYFUNCTION("countunique(split(M56, "", ""))"),1.0)</f>
        <v>1</v>
      </c>
      <c r="O56" s="54">
        <f>IFERROR(__xludf.DUMMYFUNCTION("countif(split(K56,"",""),C56)"),0.0)</f>
        <v>0</v>
      </c>
      <c r="P56" s="55" t="b">
        <f>IFERROR(__xludf.DUMMYFUNCTION("MIN(split(J56,"",""))&lt;=7"),FALSE)</f>
        <v>0</v>
      </c>
      <c r="Q56" s="55" t="b">
        <f>IFERROR(__xludf.DUMMYFUNCTION("max(split(J56,"",""))&gt;=8"),TRUE)</f>
        <v>1</v>
      </c>
      <c r="R56" s="55" t="b">
        <f t="shared" si="3"/>
        <v>0</v>
      </c>
      <c r="S56" s="54"/>
    </row>
    <row r="57">
      <c r="A57" s="54" t="s">
        <v>3023</v>
      </c>
      <c r="B57" s="54">
        <v>62.0</v>
      </c>
      <c r="C57" s="54" t="s">
        <v>3266</v>
      </c>
      <c r="D57" s="54" t="s">
        <v>8</v>
      </c>
      <c r="E57" s="65" t="s">
        <v>3024</v>
      </c>
      <c r="F57" s="54" t="s">
        <v>2503</v>
      </c>
      <c r="G57" s="54"/>
      <c r="H57" s="54" t="str">
        <f t="shared" si="1"/>
        <v>(P9)</v>
      </c>
      <c r="I57" s="54" t="str">
        <f>IFERROR(__xludf.DUMMYFUNCTION("concatenate(ARRAYFORMULA(""P"" &amp; SPLIT(J57, "","") &amp; "",""))"),"P9,")</f>
        <v>P9,</v>
      </c>
      <c r="J57" s="54" t="str">
        <f>IFERROR(__xludf.DUMMYFUNCTION("ArrayFormula(textjoin("", "",true,unique(trim(split(M57,"","")),true)))"),"9")</f>
        <v>9</v>
      </c>
      <c r="K57" s="54"/>
      <c r="L57" s="54"/>
      <c r="M57" s="54" t="str">
        <f t="shared" si="2"/>
        <v>09</v>
      </c>
      <c r="N57" s="54">
        <f>IFERROR(__xludf.DUMMYFUNCTION("countunique(split(M57, "", ""))"),1.0)</f>
        <v>1</v>
      </c>
      <c r="O57" s="54">
        <f>IFERROR(__xludf.DUMMYFUNCTION("countif(split(K57,"",""),C57)"),0.0)</f>
        <v>0</v>
      </c>
      <c r="P57" s="55" t="b">
        <f>IFERROR(__xludf.DUMMYFUNCTION("MIN(split(J57,"",""))&lt;=7"),FALSE)</f>
        <v>0</v>
      </c>
      <c r="Q57" s="55" t="b">
        <f>IFERROR(__xludf.DUMMYFUNCTION("max(split(J57,"",""))&gt;=8"),TRUE)</f>
        <v>1</v>
      </c>
      <c r="R57" s="55" t="b">
        <f t="shared" si="3"/>
        <v>0</v>
      </c>
      <c r="S57" s="54"/>
    </row>
    <row r="58">
      <c r="A58" s="54" t="s">
        <v>3028</v>
      </c>
      <c r="B58" s="54">
        <v>63.0</v>
      </c>
      <c r="C58" s="54" t="s">
        <v>3266</v>
      </c>
      <c r="D58" s="54" t="s">
        <v>8</v>
      </c>
      <c r="E58" s="65" t="s">
        <v>3340</v>
      </c>
      <c r="F58" s="54" t="s">
        <v>3341</v>
      </c>
      <c r="G58" s="54"/>
      <c r="H58" s="54" t="str">
        <f t="shared" si="1"/>
        <v>(P9)</v>
      </c>
      <c r="I58" s="54" t="str">
        <f>IFERROR(__xludf.DUMMYFUNCTION("concatenate(ARRAYFORMULA(""P"" &amp; SPLIT(J58, "","") &amp; "",""))"),"P9,")</f>
        <v>P9,</v>
      </c>
      <c r="J58" s="54" t="str">
        <f>IFERROR(__xludf.DUMMYFUNCTION("ArrayFormula(textjoin("", "",true,unique(trim(split(M58,"","")),true)))"),"9")</f>
        <v>9</v>
      </c>
      <c r="K58" s="54"/>
      <c r="L58" s="54"/>
      <c r="M58" s="54" t="str">
        <f t="shared" si="2"/>
        <v>09</v>
      </c>
      <c r="N58" s="54">
        <f>IFERROR(__xludf.DUMMYFUNCTION("countunique(split(M58, "", ""))"),1.0)</f>
        <v>1</v>
      </c>
      <c r="O58" s="54">
        <f>IFERROR(__xludf.DUMMYFUNCTION("countif(split(K58,"",""),C58)"),0.0)</f>
        <v>0</v>
      </c>
      <c r="P58" s="55" t="b">
        <f>IFERROR(__xludf.DUMMYFUNCTION("MIN(split(J58,"",""))&lt;=7"),FALSE)</f>
        <v>0</v>
      </c>
      <c r="Q58" s="55" t="b">
        <f>IFERROR(__xludf.DUMMYFUNCTION("max(split(J58,"",""))&gt;=8"),TRUE)</f>
        <v>1</v>
      </c>
      <c r="R58" s="55" t="b">
        <f t="shared" si="3"/>
        <v>0</v>
      </c>
      <c r="S58" s="54"/>
    </row>
    <row r="59">
      <c r="A59" s="54" t="s">
        <v>3031</v>
      </c>
      <c r="B59" s="54">
        <v>64.0</v>
      </c>
      <c r="C59" s="54" t="s">
        <v>3266</v>
      </c>
      <c r="D59" s="54" t="s">
        <v>8</v>
      </c>
      <c r="E59" s="65" t="s">
        <v>609</v>
      </c>
      <c r="F59" s="54" t="s">
        <v>2516</v>
      </c>
      <c r="G59" s="54"/>
      <c r="H59" s="54" t="str">
        <f t="shared" si="1"/>
        <v>(P9)</v>
      </c>
      <c r="I59" s="54" t="str">
        <f>IFERROR(__xludf.DUMMYFUNCTION("concatenate(ARRAYFORMULA(""P"" &amp; SPLIT(J59, "","") &amp; "",""))"),"P9,")</f>
        <v>P9,</v>
      </c>
      <c r="J59" s="54" t="str">
        <f>IFERROR(__xludf.DUMMYFUNCTION("ArrayFormula(textjoin("", "",true,unique(trim(split(M59,"","")),true)))"),"9")</f>
        <v>9</v>
      </c>
      <c r="K59" s="54"/>
      <c r="L59" s="54"/>
      <c r="M59" s="54" t="str">
        <f t="shared" si="2"/>
        <v>09</v>
      </c>
      <c r="N59" s="54">
        <f>IFERROR(__xludf.DUMMYFUNCTION("countunique(split(M59, "", ""))"),1.0)</f>
        <v>1</v>
      </c>
      <c r="O59" s="54">
        <f>IFERROR(__xludf.DUMMYFUNCTION("countif(split(K59,"",""),C59)"),0.0)</f>
        <v>0</v>
      </c>
      <c r="P59" s="55" t="b">
        <f>IFERROR(__xludf.DUMMYFUNCTION("MIN(split(J59,"",""))&lt;=7"),FALSE)</f>
        <v>0</v>
      </c>
      <c r="Q59" s="55" t="b">
        <f>IFERROR(__xludf.DUMMYFUNCTION("max(split(J59,"",""))&gt;=8"),TRUE)</f>
        <v>1</v>
      </c>
      <c r="R59" s="55" t="b">
        <f t="shared" si="3"/>
        <v>0</v>
      </c>
      <c r="S59" s="54"/>
    </row>
    <row r="60">
      <c r="A60" s="54" t="s">
        <v>3033</v>
      </c>
      <c r="B60" s="54">
        <v>65.0</v>
      </c>
      <c r="C60" s="54" t="s">
        <v>3266</v>
      </c>
      <c r="D60" s="54" t="s">
        <v>8</v>
      </c>
      <c r="E60" s="65" t="s">
        <v>3342</v>
      </c>
      <c r="F60" s="54" t="s">
        <v>2530</v>
      </c>
      <c r="G60" s="54"/>
      <c r="H60" s="54" t="str">
        <f t="shared" si="1"/>
        <v>(P9)</v>
      </c>
      <c r="I60" s="54" t="str">
        <f>IFERROR(__xludf.DUMMYFUNCTION("concatenate(ARRAYFORMULA(""P"" &amp; SPLIT(J60, "","") &amp; "",""))"),"P9,")</f>
        <v>P9,</v>
      </c>
      <c r="J60" s="54" t="str">
        <f>IFERROR(__xludf.DUMMYFUNCTION("ArrayFormula(textjoin("", "",true,unique(trim(split(M60,"","")),true)))"),"9")</f>
        <v>9</v>
      </c>
      <c r="K60" s="54"/>
      <c r="L60" s="54"/>
      <c r="M60" s="54" t="str">
        <f t="shared" si="2"/>
        <v>09</v>
      </c>
      <c r="N60" s="54">
        <f>IFERROR(__xludf.DUMMYFUNCTION("countunique(split(M60, "", ""))"),1.0)</f>
        <v>1</v>
      </c>
      <c r="O60" s="54">
        <f>IFERROR(__xludf.DUMMYFUNCTION("countif(split(K60,"",""),C60)"),0.0)</f>
        <v>0</v>
      </c>
      <c r="P60" s="55" t="b">
        <f>IFERROR(__xludf.DUMMYFUNCTION("MIN(split(J60,"",""))&lt;=7"),FALSE)</f>
        <v>0</v>
      </c>
      <c r="Q60" s="55" t="b">
        <f>IFERROR(__xludf.DUMMYFUNCTION("max(split(J60,"",""))&gt;=8"),TRUE)</f>
        <v>1</v>
      </c>
      <c r="R60" s="55" t="b">
        <f t="shared" si="3"/>
        <v>0</v>
      </c>
      <c r="S60" s="54"/>
    </row>
    <row r="61">
      <c r="A61" s="54" t="s">
        <v>3034</v>
      </c>
      <c r="B61" s="54">
        <v>66.0</v>
      </c>
      <c r="C61" s="54">
        <v>10.0</v>
      </c>
      <c r="D61" s="54" t="s">
        <v>8</v>
      </c>
      <c r="E61" s="65" t="s">
        <v>3343</v>
      </c>
      <c r="F61" s="54" t="s">
        <v>3344</v>
      </c>
      <c r="G61" s="54" t="s">
        <v>3345</v>
      </c>
      <c r="H61" s="54" t="str">
        <f t="shared" si="1"/>
        <v>(P10,P14)</v>
      </c>
      <c r="I61" s="54" t="str">
        <f>IFERROR(__xludf.DUMMYFUNCTION("concatenate(ARRAYFORMULA(""P"" &amp; SPLIT(J61, "","") &amp; "",""))"),"P10,P14,")</f>
        <v>P10,P14,</v>
      </c>
      <c r="J61" s="54" t="str">
        <f>IFERROR(__xludf.DUMMYFUNCTION("ArrayFormula(textjoin("", "",true,unique(trim(split(M61,"","")),true)))"),"10, 14")</f>
        <v>10, 14</v>
      </c>
      <c r="K61" s="54" t="s">
        <v>3346</v>
      </c>
      <c r="L61" s="54" t="s">
        <v>3347</v>
      </c>
      <c r="M61" s="54" t="str">
        <f t="shared" si="2"/>
        <v>10, 10, 10, 14</v>
      </c>
      <c r="N61" s="54">
        <f>IFERROR(__xludf.DUMMYFUNCTION("countunique(split(M61, "", ""))"),2.0)</f>
        <v>2</v>
      </c>
      <c r="O61" s="54">
        <f>IFERROR(__xludf.DUMMYFUNCTION("countif(split(K61,"",""),C61)"),2.0)</f>
        <v>2</v>
      </c>
      <c r="P61" s="55" t="b">
        <f>IFERROR(__xludf.DUMMYFUNCTION("MIN(split(J61,"",""))&lt;=7"),FALSE)</f>
        <v>0</v>
      </c>
      <c r="Q61" s="55" t="b">
        <f>IFERROR(__xludf.DUMMYFUNCTION("max(split(J61,"",""))&gt;=8"),TRUE)</f>
        <v>1</v>
      </c>
      <c r="R61" s="55" t="b">
        <f t="shared" si="3"/>
        <v>0</v>
      </c>
      <c r="S61" s="54"/>
    </row>
    <row r="62">
      <c r="A62" s="54" t="s">
        <v>3037</v>
      </c>
      <c r="B62" s="54">
        <v>67.0</v>
      </c>
      <c r="C62" s="54">
        <v>10.0</v>
      </c>
      <c r="D62" s="54" t="s">
        <v>8</v>
      </c>
      <c r="E62" s="65" t="s">
        <v>3038</v>
      </c>
      <c r="F62" s="54" t="s">
        <v>2537</v>
      </c>
      <c r="G62" s="54"/>
      <c r="H62" s="54" t="str">
        <f t="shared" si="1"/>
        <v>(P10)</v>
      </c>
      <c r="I62" s="54" t="str">
        <f>IFERROR(__xludf.DUMMYFUNCTION("concatenate(ARRAYFORMULA(""P"" &amp; SPLIT(J62, "","") &amp; "",""))"),"P10,")</f>
        <v>P10,</v>
      </c>
      <c r="J62" s="54" t="str">
        <f>IFERROR(__xludf.DUMMYFUNCTION("ArrayFormula(textjoin("", "",true,unique(trim(split(M62,"","")),true)))"),"10")</f>
        <v>10</v>
      </c>
      <c r="K62" s="54"/>
      <c r="L62" s="54"/>
      <c r="M62" s="54">
        <f t="shared" si="2"/>
        <v>10</v>
      </c>
      <c r="N62" s="54">
        <f>IFERROR(__xludf.DUMMYFUNCTION("countunique(split(M62, "", ""))"),1.0)</f>
        <v>1</v>
      </c>
      <c r="O62" s="54">
        <f>IFERROR(__xludf.DUMMYFUNCTION("countif(split(K62,"",""),C62)"),0.0)</f>
        <v>0</v>
      </c>
      <c r="P62" s="55" t="b">
        <f>IFERROR(__xludf.DUMMYFUNCTION("MIN(split(J62,"",""))&lt;=7"),FALSE)</f>
        <v>0</v>
      </c>
      <c r="Q62" s="55" t="b">
        <f>IFERROR(__xludf.DUMMYFUNCTION("max(split(J62,"",""))&gt;=8"),TRUE)</f>
        <v>1</v>
      </c>
      <c r="R62" s="55" t="b">
        <f t="shared" si="3"/>
        <v>0</v>
      </c>
      <c r="S62" s="54"/>
    </row>
    <row r="63">
      <c r="A63" s="54" t="s">
        <v>3040</v>
      </c>
      <c r="B63" s="54">
        <v>68.0</v>
      </c>
      <c r="C63" s="54">
        <v>10.0</v>
      </c>
      <c r="D63" s="54" t="s">
        <v>8</v>
      </c>
      <c r="E63" s="65" t="s">
        <v>3348</v>
      </c>
      <c r="F63" s="54" t="s">
        <v>3349</v>
      </c>
      <c r="G63" s="54"/>
      <c r="H63" s="54" t="str">
        <f t="shared" si="1"/>
        <v>(P10)</v>
      </c>
      <c r="I63" s="54" t="str">
        <f>IFERROR(__xludf.DUMMYFUNCTION("concatenate(ARRAYFORMULA(""P"" &amp; SPLIT(J63, "","") &amp; "",""))"),"P10,")</f>
        <v>P10,</v>
      </c>
      <c r="J63" s="54" t="str">
        <f>IFERROR(__xludf.DUMMYFUNCTION("ArrayFormula(textjoin("", "",true,unique(trim(split(M63,"","")),true)))"),"10")</f>
        <v>10</v>
      </c>
      <c r="K63" s="54"/>
      <c r="L63" s="54"/>
      <c r="M63" s="54">
        <f t="shared" si="2"/>
        <v>10</v>
      </c>
      <c r="N63" s="54">
        <f>IFERROR(__xludf.DUMMYFUNCTION("countunique(split(M63, "", ""))"),1.0)</f>
        <v>1</v>
      </c>
      <c r="O63" s="54">
        <f>IFERROR(__xludf.DUMMYFUNCTION("countif(split(K63,"",""),C63)"),0.0)</f>
        <v>0</v>
      </c>
      <c r="P63" s="55" t="b">
        <f>IFERROR(__xludf.DUMMYFUNCTION("MIN(split(J63,"",""))&lt;=7"),FALSE)</f>
        <v>0</v>
      </c>
      <c r="Q63" s="55" t="b">
        <f>IFERROR(__xludf.DUMMYFUNCTION("max(split(J63,"",""))&gt;=8"),TRUE)</f>
        <v>1</v>
      </c>
      <c r="R63" s="55" t="b">
        <f t="shared" si="3"/>
        <v>0</v>
      </c>
      <c r="S63" s="54"/>
    </row>
    <row r="64">
      <c r="A64" s="54" t="s">
        <v>3044</v>
      </c>
      <c r="B64" s="54">
        <v>69.0</v>
      </c>
      <c r="C64" s="54">
        <v>10.0</v>
      </c>
      <c r="D64" s="54" t="s">
        <v>8</v>
      </c>
      <c r="E64" s="65" t="s">
        <v>3350</v>
      </c>
      <c r="F64" s="54" t="s">
        <v>2546</v>
      </c>
      <c r="G64" s="54"/>
      <c r="H64" s="54" t="str">
        <f t="shared" si="1"/>
        <v>(P10)</v>
      </c>
      <c r="I64" s="54" t="str">
        <f>IFERROR(__xludf.DUMMYFUNCTION("concatenate(ARRAYFORMULA(""P"" &amp; SPLIT(J64, "","") &amp; "",""))"),"P10,")</f>
        <v>P10,</v>
      </c>
      <c r="J64" s="54" t="str">
        <f>IFERROR(__xludf.DUMMYFUNCTION("ArrayFormula(textjoin("", "",true,unique(trim(split(M64,"","")),true)))"),"10")</f>
        <v>10</v>
      </c>
      <c r="K64" s="54"/>
      <c r="L64" s="54"/>
      <c r="M64" s="54">
        <f t="shared" si="2"/>
        <v>10</v>
      </c>
      <c r="N64" s="54">
        <f>IFERROR(__xludf.DUMMYFUNCTION("countunique(split(M64, "", ""))"),1.0)</f>
        <v>1</v>
      </c>
      <c r="O64" s="54">
        <f>IFERROR(__xludf.DUMMYFUNCTION("countif(split(K64,"",""),C64)"),0.0)</f>
        <v>0</v>
      </c>
      <c r="P64" s="55" t="b">
        <f>IFERROR(__xludf.DUMMYFUNCTION("MIN(split(J64,"",""))&lt;=7"),FALSE)</f>
        <v>0</v>
      </c>
      <c r="Q64" s="55" t="b">
        <f>IFERROR(__xludf.DUMMYFUNCTION("max(split(J64,"",""))&gt;=8"),TRUE)</f>
        <v>1</v>
      </c>
      <c r="R64" s="55" t="b">
        <f t="shared" si="3"/>
        <v>0</v>
      </c>
      <c r="S64" s="54"/>
    </row>
    <row r="65">
      <c r="A65" s="54" t="s">
        <v>3050</v>
      </c>
      <c r="B65" s="54">
        <v>70.0</v>
      </c>
      <c r="C65" s="54">
        <v>10.0</v>
      </c>
      <c r="D65" s="54" t="s">
        <v>8</v>
      </c>
      <c r="E65" s="65" t="s">
        <v>3051</v>
      </c>
      <c r="F65" s="54" t="s">
        <v>2570</v>
      </c>
      <c r="G65" s="54"/>
      <c r="H65" s="54" t="str">
        <f t="shared" si="1"/>
        <v>(P10)</v>
      </c>
      <c r="I65" s="54" t="str">
        <f>IFERROR(__xludf.DUMMYFUNCTION("concatenate(ARRAYFORMULA(""P"" &amp; SPLIT(J65, "","") &amp; "",""))"),"P10,")</f>
        <v>P10,</v>
      </c>
      <c r="J65" s="54" t="str">
        <f>IFERROR(__xludf.DUMMYFUNCTION("ArrayFormula(textjoin("", "",true,unique(trim(split(M65,"","")),true)))"),"10")</f>
        <v>10</v>
      </c>
      <c r="K65" s="54"/>
      <c r="L65" s="54"/>
      <c r="M65" s="54">
        <f t="shared" si="2"/>
        <v>10</v>
      </c>
      <c r="N65" s="54">
        <f>IFERROR(__xludf.DUMMYFUNCTION("countunique(split(M65, "", ""))"),1.0)</f>
        <v>1</v>
      </c>
      <c r="O65" s="54">
        <f>IFERROR(__xludf.DUMMYFUNCTION("countif(split(K65,"",""),C65)"),0.0)</f>
        <v>0</v>
      </c>
      <c r="P65" s="55" t="b">
        <f>IFERROR(__xludf.DUMMYFUNCTION("MIN(split(J65,"",""))&lt;=7"),FALSE)</f>
        <v>0</v>
      </c>
      <c r="Q65" s="55" t="b">
        <f>IFERROR(__xludf.DUMMYFUNCTION("max(split(J65,"",""))&gt;=8"),TRUE)</f>
        <v>1</v>
      </c>
      <c r="R65" s="55" t="b">
        <f t="shared" si="3"/>
        <v>0</v>
      </c>
      <c r="S65" s="54"/>
    </row>
    <row r="66">
      <c r="A66" s="54" t="s">
        <v>3052</v>
      </c>
      <c r="B66" s="54">
        <v>71.0</v>
      </c>
      <c r="C66" s="54">
        <v>10.0</v>
      </c>
      <c r="D66" s="54" t="s">
        <v>8</v>
      </c>
      <c r="E66" s="65" t="s">
        <v>3351</v>
      </c>
      <c r="F66" s="54" t="s">
        <v>3352</v>
      </c>
      <c r="G66" s="54" t="s">
        <v>2572</v>
      </c>
      <c r="H66" s="54" t="str">
        <f t="shared" si="1"/>
        <v>(P10,P11)</v>
      </c>
      <c r="I66" s="54" t="str">
        <f>IFERROR(__xludf.DUMMYFUNCTION("concatenate(ARRAYFORMULA(""P"" &amp; SPLIT(J66, "","") &amp; "",""))"),"P10,P11,")</f>
        <v>P10,P11,</v>
      </c>
      <c r="J66" s="54" t="str">
        <f>IFERROR(__xludf.DUMMYFUNCTION("ArrayFormula(textjoin("", "",true,unique(trim(split(M66,"","")),true)))"),"10, 11")</f>
        <v>10, 11</v>
      </c>
      <c r="K66" s="54" t="s">
        <v>3312</v>
      </c>
      <c r="L66" s="54" t="s">
        <v>3076</v>
      </c>
      <c r="M66" s="54" t="str">
        <f t="shared" si="2"/>
        <v>10, 11</v>
      </c>
      <c r="N66" s="54">
        <f>IFERROR(__xludf.DUMMYFUNCTION("countunique(split(M66, "", ""))"),2.0)</f>
        <v>2</v>
      </c>
      <c r="O66" s="54">
        <f>IFERROR(__xludf.DUMMYFUNCTION("countif(split(K66,"",""),C66)"),0.0)</f>
        <v>0</v>
      </c>
      <c r="P66" s="55" t="b">
        <f>IFERROR(__xludf.DUMMYFUNCTION("MIN(split(J66,"",""))&lt;=7"),FALSE)</f>
        <v>0</v>
      </c>
      <c r="Q66" s="55" t="b">
        <f>IFERROR(__xludf.DUMMYFUNCTION("max(split(J66,"",""))&gt;=8"),TRUE)</f>
        <v>1</v>
      </c>
      <c r="R66" s="55" t="b">
        <f t="shared" si="3"/>
        <v>0</v>
      </c>
      <c r="S66" s="54"/>
    </row>
    <row r="67">
      <c r="A67" s="54" t="s">
        <v>3053</v>
      </c>
      <c r="B67" s="54">
        <v>72.0</v>
      </c>
      <c r="C67" s="54">
        <v>10.0</v>
      </c>
      <c r="D67" s="54" t="s">
        <v>8</v>
      </c>
      <c r="E67" s="65" t="s">
        <v>673</v>
      </c>
      <c r="F67" s="54" t="s">
        <v>2573</v>
      </c>
      <c r="G67" s="54"/>
      <c r="H67" s="54" t="str">
        <f t="shared" si="1"/>
        <v>(P10)</v>
      </c>
      <c r="I67" s="54" t="str">
        <f>IFERROR(__xludf.DUMMYFUNCTION("concatenate(ARRAYFORMULA(""P"" &amp; SPLIT(J67, "","") &amp; "",""))"),"P10,")</f>
        <v>P10,</v>
      </c>
      <c r="J67" s="54" t="str">
        <f>IFERROR(__xludf.DUMMYFUNCTION("ArrayFormula(textjoin("", "",true,unique(trim(split(M67,"","")),true)))"),"10")</f>
        <v>10</v>
      </c>
      <c r="K67" s="54"/>
      <c r="L67" s="54"/>
      <c r="M67" s="54">
        <f t="shared" si="2"/>
        <v>10</v>
      </c>
      <c r="N67" s="54">
        <f>IFERROR(__xludf.DUMMYFUNCTION("countunique(split(M67, "", ""))"),1.0)</f>
        <v>1</v>
      </c>
      <c r="O67" s="54">
        <f>IFERROR(__xludf.DUMMYFUNCTION("countif(split(K67,"",""),C67)"),0.0)</f>
        <v>0</v>
      </c>
      <c r="P67" s="55" t="b">
        <f>IFERROR(__xludf.DUMMYFUNCTION("MIN(split(J67,"",""))&lt;=7"),FALSE)</f>
        <v>0</v>
      </c>
      <c r="Q67" s="55" t="b">
        <f>IFERROR(__xludf.DUMMYFUNCTION("max(split(J67,"",""))&gt;=8"),TRUE)</f>
        <v>1</v>
      </c>
      <c r="R67" s="55" t="b">
        <f t="shared" si="3"/>
        <v>0</v>
      </c>
      <c r="S67" s="54"/>
    </row>
    <row r="68">
      <c r="A68" s="54" t="s">
        <v>3054</v>
      </c>
      <c r="B68" s="54">
        <v>73.0</v>
      </c>
      <c r="C68" s="54">
        <v>10.0</v>
      </c>
      <c r="D68" s="54" t="s">
        <v>8</v>
      </c>
      <c r="E68" s="65" t="s">
        <v>683</v>
      </c>
      <c r="F68" s="54" t="s">
        <v>2577</v>
      </c>
      <c r="G68" s="54"/>
      <c r="H68" s="54" t="str">
        <f t="shared" si="1"/>
        <v>(P10)</v>
      </c>
      <c r="I68" s="54" t="str">
        <f>IFERROR(__xludf.DUMMYFUNCTION("concatenate(ARRAYFORMULA(""P"" &amp; SPLIT(J68, "","") &amp; "",""))"),"P10,")</f>
        <v>P10,</v>
      </c>
      <c r="J68" s="54" t="str">
        <f>IFERROR(__xludf.DUMMYFUNCTION("ArrayFormula(textjoin("", "",true,unique(trim(split(M68,"","")),true)))"),"10")</f>
        <v>10</v>
      </c>
      <c r="K68" s="54"/>
      <c r="L68" s="54"/>
      <c r="M68" s="54">
        <f t="shared" si="2"/>
        <v>10</v>
      </c>
      <c r="N68" s="54">
        <f>IFERROR(__xludf.DUMMYFUNCTION("countunique(split(M68, "", ""))"),1.0)</f>
        <v>1</v>
      </c>
      <c r="O68" s="54">
        <f>IFERROR(__xludf.DUMMYFUNCTION("countif(split(K68,"",""),C68)"),0.0)</f>
        <v>0</v>
      </c>
      <c r="P68" s="55" t="b">
        <f>IFERROR(__xludf.DUMMYFUNCTION("MIN(split(J68,"",""))&lt;=7"),FALSE)</f>
        <v>0</v>
      </c>
      <c r="Q68" s="55" t="b">
        <f>IFERROR(__xludf.DUMMYFUNCTION("max(split(J68,"",""))&gt;=8"),TRUE)</f>
        <v>1</v>
      </c>
      <c r="R68" s="55" t="b">
        <f t="shared" si="3"/>
        <v>0</v>
      </c>
      <c r="S68" s="54"/>
    </row>
    <row r="69">
      <c r="A69" s="54" t="s">
        <v>3060</v>
      </c>
      <c r="B69" s="54">
        <v>74.0</v>
      </c>
      <c r="C69" s="54">
        <v>10.0</v>
      </c>
      <c r="D69" s="54" t="s">
        <v>8</v>
      </c>
      <c r="E69" s="65" t="s">
        <v>3353</v>
      </c>
      <c r="F69" s="54" t="s">
        <v>2591</v>
      </c>
      <c r="G69" s="54"/>
      <c r="H69" s="54" t="str">
        <f t="shared" si="1"/>
        <v>(P10)</v>
      </c>
      <c r="I69" s="54" t="str">
        <f>IFERROR(__xludf.DUMMYFUNCTION("concatenate(ARRAYFORMULA(""P"" &amp; SPLIT(J69, "","") &amp; "",""))"),"P10,")</f>
        <v>P10,</v>
      </c>
      <c r="J69" s="54" t="str">
        <f>IFERROR(__xludf.DUMMYFUNCTION("ArrayFormula(textjoin("", "",true,unique(trim(split(M69,"","")),true)))"),"10")</f>
        <v>10</v>
      </c>
      <c r="K69" s="54"/>
      <c r="L69" s="54"/>
      <c r="M69" s="54">
        <f t="shared" si="2"/>
        <v>10</v>
      </c>
      <c r="N69" s="54">
        <f>IFERROR(__xludf.DUMMYFUNCTION("countunique(split(M69, "", ""))"),1.0)</f>
        <v>1</v>
      </c>
      <c r="O69" s="54">
        <f>IFERROR(__xludf.DUMMYFUNCTION("countif(split(K69,"",""),C69)"),0.0)</f>
        <v>0</v>
      </c>
      <c r="P69" s="55" t="b">
        <f>IFERROR(__xludf.DUMMYFUNCTION("MIN(split(J69,"",""))&lt;=7"),FALSE)</f>
        <v>0</v>
      </c>
      <c r="Q69" s="55" t="b">
        <f>IFERROR(__xludf.DUMMYFUNCTION("max(split(J69,"",""))&gt;=8"),TRUE)</f>
        <v>1</v>
      </c>
      <c r="R69" s="55" t="b">
        <f t="shared" si="3"/>
        <v>0</v>
      </c>
      <c r="S69" s="54"/>
    </row>
    <row r="70">
      <c r="A70" s="54" t="s">
        <v>3073</v>
      </c>
      <c r="B70" s="54">
        <v>75.0</v>
      </c>
      <c r="C70" s="54">
        <v>11.0</v>
      </c>
      <c r="D70" s="54" t="s">
        <v>8</v>
      </c>
      <c r="E70" s="65" t="s">
        <v>2619</v>
      </c>
      <c r="F70" s="54" t="s">
        <v>2620</v>
      </c>
      <c r="G70" s="54"/>
      <c r="H70" s="54" t="str">
        <f t="shared" si="1"/>
        <v>(P11)</v>
      </c>
      <c r="I70" s="54" t="str">
        <f>IFERROR(__xludf.DUMMYFUNCTION("concatenate(ARRAYFORMULA(""P"" &amp; SPLIT(J70, "","") &amp; "",""))"),"P11,")</f>
        <v>P11,</v>
      </c>
      <c r="J70" s="54" t="str">
        <f>IFERROR(__xludf.DUMMYFUNCTION("ArrayFormula(textjoin("", "",true,unique(trim(split(M70,"","")),true)))"),"11")</f>
        <v>11</v>
      </c>
      <c r="K70" s="54"/>
      <c r="L70" s="54"/>
      <c r="M70" s="54">
        <f t="shared" si="2"/>
        <v>11</v>
      </c>
      <c r="N70" s="54">
        <f>IFERROR(__xludf.DUMMYFUNCTION("countunique(split(M70, "", ""))"),1.0)</f>
        <v>1</v>
      </c>
      <c r="O70" s="54">
        <f>IFERROR(__xludf.DUMMYFUNCTION("countif(split(K70,"",""),C70)"),0.0)</f>
        <v>0</v>
      </c>
      <c r="P70" s="55" t="b">
        <f>IFERROR(__xludf.DUMMYFUNCTION("MIN(split(J70,"",""))&lt;=7"),FALSE)</f>
        <v>0</v>
      </c>
      <c r="Q70" s="55" t="b">
        <f>IFERROR(__xludf.DUMMYFUNCTION("max(split(J70,"",""))&gt;=8"),TRUE)</f>
        <v>1</v>
      </c>
      <c r="R70" s="55" t="b">
        <f t="shared" si="3"/>
        <v>0</v>
      </c>
      <c r="S70" s="54"/>
    </row>
    <row r="71">
      <c r="A71" s="54" t="s">
        <v>3080</v>
      </c>
      <c r="B71" s="54">
        <v>76.0</v>
      </c>
      <c r="C71" s="54">
        <v>11.0</v>
      </c>
      <c r="D71" s="54" t="s">
        <v>8</v>
      </c>
      <c r="E71" s="65" t="s">
        <v>3354</v>
      </c>
      <c r="F71" s="54" t="s">
        <v>3355</v>
      </c>
      <c r="G71" s="54" t="s">
        <v>3356</v>
      </c>
      <c r="H71" s="54" t="str">
        <f t="shared" si="1"/>
        <v>(P11,P12)</v>
      </c>
      <c r="I71" s="54" t="str">
        <f>IFERROR(__xludf.DUMMYFUNCTION("concatenate(ARRAYFORMULA(""P"" &amp; SPLIT(J71, "","") &amp; "",""))"),"P11,P12,")</f>
        <v>P11,P12,</v>
      </c>
      <c r="J71" s="54" t="str">
        <f>IFERROR(__xludf.DUMMYFUNCTION("ArrayFormula(textjoin("", "",true,unique(trim(split(M71,"","")),true)))"),"11, 12")</f>
        <v>11, 12</v>
      </c>
      <c r="K71" s="54" t="s">
        <v>3357</v>
      </c>
      <c r="L71" s="54" t="s">
        <v>3104</v>
      </c>
      <c r="M71" s="54" t="str">
        <f t="shared" si="2"/>
        <v>11, 12</v>
      </c>
      <c r="N71" s="54">
        <f>IFERROR(__xludf.DUMMYFUNCTION("countunique(split(M71, "", ""))"),2.0)</f>
        <v>2</v>
      </c>
      <c r="O71" s="54">
        <f>IFERROR(__xludf.DUMMYFUNCTION("countif(split(K71,"",""),C71)"),0.0)</f>
        <v>0</v>
      </c>
      <c r="P71" s="55" t="b">
        <f>IFERROR(__xludf.DUMMYFUNCTION("MIN(split(J71,"",""))&lt;=7"),FALSE)</f>
        <v>0</v>
      </c>
      <c r="Q71" s="55" t="b">
        <f>IFERROR(__xludf.DUMMYFUNCTION("max(split(J71,"",""))&gt;=8"),TRUE)</f>
        <v>1</v>
      </c>
      <c r="R71" s="55" t="b">
        <f t="shared" si="3"/>
        <v>0</v>
      </c>
      <c r="S71" s="54"/>
    </row>
    <row r="72">
      <c r="A72" s="54" t="s">
        <v>2922</v>
      </c>
      <c r="B72" s="54">
        <v>77.0</v>
      </c>
      <c r="C72" s="66" t="s">
        <v>3282</v>
      </c>
      <c r="D72" s="54" t="s">
        <v>8</v>
      </c>
      <c r="E72" s="65" t="s">
        <v>3358</v>
      </c>
      <c r="F72" s="54" t="s">
        <v>3359</v>
      </c>
      <c r="G72" s="54" t="s">
        <v>2269</v>
      </c>
      <c r="H72" s="54" t="str">
        <f t="shared" si="1"/>
        <v>(P5,P12)</v>
      </c>
      <c r="I72" s="54" t="str">
        <f>IFERROR(__xludf.DUMMYFUNCTION("concatenate(ARRAYFORMULA(""P"" &amp; SPLIT(J72, "","") &amp; "",""))"),"P5,P12,")</f>
        <v>P5,P12,</v>
      </c>
      <c r="J72" s="54" t="str">
        <f>IFERROR(__xludf.DUMMYFUNCTION("ArrayFormula(textjoin("", "",true,unique(trim(split(M72,"","")),true)))"),"5, 12")</f>
        <v>5, 12</v>
      </c>
      <c r="K72" s="54" t="s">
        <v>3316</v>
      </c>
      <c r="L72" s="54" t="s">
        <v>3360</v>
      </c>
      <c r="M72" s="54" t="str">
        <f t="shared" si="2"/>
        <v>05, 12, 12</v>
      </c>
      <c r="N72" s="54">
        <f>IFERROR(__xludf.DUMMYFUNCTION("countunique(split(M72, "", ""))"),2.0)</f>
        <v>2</v>
      </c>
      <c r="O72" s="54">
        <f>IFERROR(__xludf.DUMMYFUNCTION("countif(split(K72,"",""),C72)"),0.0)</f>
        <v>0</v>
      </c>
      <c r="P72" s="55" t="b">
        <f>IFERROR(__xludf.DUMMYFUNCTION("MIN(split(J72,"",""))&lt;=7"),TRUE)</f>
        <v>1</v>
      </c>
      <c r="Q72" s="55" t="b">
        <f>IFERROR(__xludf.DUMMYFUNCTION("max(split(J72,"",""))&gt;=8"),TRUE)</f>
        <v>1</v>
      </c>
      <c r="R72" s="55" t="b">
        <f t="shared" si="3"/>
        <v>1</v>
      </c>
      <c r="S72" s="54"/>
    </row>
    <row r="73">
      <c r="A73" s="54" t="s">
        <v>3087</v>
      </c>
      <c r="B73" s="54">
        <v>78.0</v>
      </c>
      <c r="C73" s="54">
        <v>12.0</v>
      </c>
      <c r="D73" s="54" t="s">
        <v>8</v>
      </c>
      <c r="E73" s="65" t="s">
        <v>1179</v>
      </c>
      <c r="F73" s="54" t="s">
        <v>3361</v>
      </c>
      <c r="G73" s="54"/>
      <c r="H73" s="54" t="str">
        <f t="shared" si="1"/>
        <v>(P12)</v>
      </c>
      <c r="I73" s="54" t="str">
        <f>IFERROR(__xludf.DUMMYFUNCTION("concatenate(ARRAYFORMULA(""P"" &amp; SPLIT(J73, "","") &amp; "",""))"),"P12,")</f>
        <v>P12,</v>
      </c>
      <c r="J73" s="54" t="str">
        <f>IFERROR(__xludf.DUMMYFUNCTION("ArrayFormula(textjoin("", "",true,unique(trim(split(M73,"","")),true)))"),"12")</f>
        <v>12</v>
      </c>
      <c r="K73" s="54"/>
      <c r="L73" s="54"/>
      <c r="M73" s="54">
        <f t="shared" si="2"/>
        <v>12</v>
      </c>
      <c r="N73" s="54">
        <f>IFERROR(__xludf.DUMMYFUNCTION("countunique(split(M73, "", ""))"),1.0)</f>
        <v>1</v>
      </c>
      <c r="O73" s="54">
        <f>IFERROR(__xludf.DUMMYFUNCTION("countif(split(K73,"",""),C73)"),0.0)</f>
        <v>0</v>
      </c>
      <c r="P73" s="55" t="b">
        <f>IFERROR(__xludf.DUMMYFUNCTION("MIN(split(J73,"",""))&lt;=7"),FALSE)</f>
        <v>0</v>
      </c>
      <c r="Q73" s="55" t="b">
        <f>IFERROR(__xludf.DUMMYFUNCTION("max(split(J73,"",""))&gt;=8"),TRUE)</f>
        <v>1</v>
      </c>
      <c r="R73" s="55" t="b">
        <f t="shared" si="3"/>
        <v>0</v>
      </c>
      <c r="S73" s="54"/>
    </row>
    <row r="74">
      <c r="A74" s="54" t="s">
        <v>3092</v>
      </c>
      <c r="B74" s="54">
        <v>79.0</v>
      </c>
      <c r="C74" s="54">
        <v>12.0</v>
      </c>
      <c r="D74" s="54" t="s">
        <v>8</v>
      </c>
      <c r="E74" s="65" t="s">
        <v>1191</v>
      </c>
      <c r="F74" s="54" t="s">
        <v>2662</v>
      </c>
      <c r="G74" s="54"/>
      <c r="H74" s="54" t="str">
        <f t="shared" si="1"/>
        <v>(P12)</v>
      </c>
      <c r="I74" s="54" t="str">
        <f>IFERROR(__xludf.DUMMYFUNCTION("concatenate(ARRAYFORMULA(""P"" &amp; SPLIT(J74, "","") &amp; "",""))"),"P12,")</f>
        <v>P12,</v>
      </c>
      <c r="J74" s="54" t="str">
        <f>IFERROR(__xludf.DUMMYFUNCTION("ArrayFormula(textjoin("", "",true,unique(trim(split(M74,"","")),true)))"),"12")</f>
        <v>12</v>
      </c>
      <c r="K74" s="54"/>
      <c r="L74" s="54"/>
      <c r="M74" s="54">
        <f t="shared" si="2"/>
        <v>12</v>
      </c>
      <c r="N74" s="54">
        <f>IFERROR(__xludf.DUMMYFUNCTION("countunique(split(M74, "", ""))"),1.0)</f>
        <v>1</v>
      </c>
      <c r="O74" s="54">
        <f>IFERROR(__xludf.DUMMYFUNCTION("countif(split(K74,"",""),C74)"),0.0)</f>
        <v>0</v>
      </c>
      <c r="P74" s="55" t="b">
        <f>IFERROR(__xludf.DUMMYFUNCTION("MIN(split(J74,"",""))&lt;=7"),FALSE)</f>
        <v>0</v>
      </c>
      <c r="Q74" s="55" t="b">
        <f>IFERROR(__xludf.DUMMYFUNCTION("max(split(J74,"",""))&gt;=8"),TRUE)</f>
        <v>1</v>
      </c>
      <c r="R74" s="55" t="b">
        <f t="shared" si="3"/>
        <v>0</v>
      </c>
      <c r="S74" s="54"/>
    </row>
    <row r="75">
      <c r="A75" s="54" t="s">
        <v>3093</v>
      </c>
      <c r="B75" s="54">
        <v>80.0</v>
      </c>
      <c r="C75" s="54">
        <v>12.0</v>
      </c>
      <c r="D75" s="54" t="s">
        <v>8</v>
      </c>
      <c r="E75" s="65" t="s">
        <v>3094</v>
      </c>
      <c r="F75" s="54" t="s">
        <v>2665</v>
      </c>
      <c r="G75" s="54"/>
      <c r="H75" s="54" t="str">
        <f t="shared" si="1"/>
        <v>(P12)</v>
      </c>
      <c r="I75" s="54" t="str">
        <f>IFERROR(__xludf.DUMMYFUNCTION("concatenate(ARRAYFORMULA(""P"" &amp; SPLIT(J75, "","") &amp; "",""))"),"P12,")</f>
        <v>P12,</v>
      </c>
      <c r="J75" s="54" t="str">
        <f>IFERROR(__xludf.DUMMYFUNCTION("ArrayFormula(textjoin("", "",true,unique(trim(split(M75,"","")),true)))"),"12")</f>
        <v>12</v>
      </c>
      <c r="K75" s="54"/>
      <c r="L75" s="54"/>
      <c r="M75" s="54">
        <f t="shared" si="2"/>
        <v>12</v>
      </c>
      <c r="N75" s="54">
        <f>IFERROR(__xludf.DUMMYFUNCTION("countunique(split(M75, "", ""))"),1.0)</f>
        <v>1</v>
      </c>
      <c r="O75" s="54">
        <f>IFERROR(__xludf.DUMMYFUNCTION("countif(split(K75,"",""),C75)"),0.0)</f>
        <v>0</v>
      </c>
      <c r="P75" s="55" t="b">
        <f>IFERROR(__xludf.DUMMYFUNCTION("MIN(split(J75,"",""))&lt;=7"),FALSE)</f>
        <v>0</v>
      </c>
      <c r="Q75" s="55" t="b">
        <f>IFERROR(__xludf.DUMMYFUNCTION("max(split(J75,"",""))&gt;=8"),TRUE)</f>
        <v>1</v>
      </c>
      <c r="R75" s="55" t="b">
        <f t="shared" si="3"/>
        <v>0</v>
      </c>
      <c r="S75" s="54"/>
    </row>
    <row r="76">
      <c r="A76" s="54" t="s">
        <v>3099</v>
      </c>
      <c r="B76" s="54">
        <v>81.0</v>
      </c>
      <c r="C76" s="54">
        <v>12.0</v>
      </c>
      <c r="D76" s="54" t="s">
        <v>8</v>
      </c>
      <c r="E76" s="65" t="s">
        <v>3100</v>
      </c>
      <c r="F76" s="54" t="s">
        <v>2686</v>
      </c>
      <c r="G76" s="54"/>
      <c r="H76" s="54" t="str">
        <f t="shared" si="1"/>
        <v>(P12)</v>
      </c>
      <c r="I76" s="54" t="str">
        <f>IFERROR(__xludf.DUMMYFUNCTION("concatenate(ARRAYFORMULA(""P"" &amp; SPLIT(J76, "","") &amp; "",""))"),"P12,")</f>
        <v>P12,</v>
      </c>
      <c r="J76" s="54" t="str">
        <f>IFERROR(__xludf.DUMMYFUNCTION("ArrayFormula(textjoin("", "",true,unique(trim(split(M76,"","")),true)))"),"12")</f>
        <v>12</v>
      </c>
      <c r="K76" s="54"/>
      <c r="L76" s="54"/>
      <c r="M76" s="54">
        <f t="shared" si="2"/>
        <v>12</v>
      </c>
      <c r="N76" s="54">
        <f>IFERROR(__xludf.DUMMYFUNCTION("countunique(split(M76, "", ""))"),1.0)</f>
        <v>1</v>
      </c>
      <c r="O76" s="54">
        <f>IFERROR(__xludf.DUMMYFUNCTION("countif(split(K76,"",""),C76)"),0.0)</f>
        <v>0</v>
      </c>
      <c r="P76" s="55" t="b">
        <f>IFERROR(__xludf.DUMMYFUNCTION("MIN(split(J76,"",""))&lt;=7"),FALSE)</f>
        <v>0</v>
      </c>
      <c r="Q76" s="55" t="b">
        <f>IFERROR(__xludf.DUMMYFUNCTION("max(split(J76,"",""))&gt;=8"),TRUE)</f>
        <v>1</v>
      </c>
      <c r="R76" s="55" t="b">
        <f t="shared" si="3"/>
        <v>0</v>
      </c>
      <c r="S76" s="54"/>
    </row>
    <row r="77">
      <c r="A77" s="54" t="s">
        <v>3113</v>
      </c>
      <c r="B77" s="54">
        <v>82.0</v>
      </c>
      <c r="C77" s="54">
        <v>13.0</v>
      </c>
      <c r="D77" s="54" t="s">
        <v>8</v>
      </c>
      <c r="E77" s="65" t="s">
        <v>3114</v>
      </c>
      <c r="F77" s="54" t="s">
        <v>1859</v>
      </c>
      <c r="G77" s="54"/>
      <c r="H77" s="54" t="str">
        <f t="shared" si="1"/>
        <v>(P13)</v>
      </c>
      <c r="I77" s="54" t="str">
        <f>IFERROR(__xludf.DUMMYFUNCTION("concatenate(ARRAYFORMULA(""P"" &amp; SPLIT(J77, "","") &amp; "",""))"),"P13,")</f>
        <v>P13,</v>
      </c>
      <c r="J77" s="54" t="str">
        <f>IFERROR(__xludf.DUMMYFUNCTION("ArrayFormula(textjoin("", "",true,unique(trim(split(M77,"","")),true)))"),"13")</f>
        <v>13</v>
      </c>
      <c r="K77" s="54"/>
      <c r="L77" s="54"/>
      <c r="M77" s="54">
        <f t="shared" si="2"/>
        <v>13</v>
      </c>
      <c r="N77" s="54">
        <f>IFERROR(__xludf.DUMMYFUNCTION("countunique(split(M77, "", ""))"),1.0)</f>
        <v>1</v>
      </c>
      <c r="O77" s="54">
        <f>IFERROR(__xludf.DUMMYFUNCTION("countif(split(K77,"",""),C77)"),0.0)</f>
        <v>0</v>
      </c>
      <c r="P77" s="55" t="b">
        <f>IFERROR(__xludf.DUMMYFUNCTION("MIN(split(J77,"",""))&lt;=7"),FALSE)</f>
        <v>0</v>
      </c>
      <c r="Q77" s="55" t="b">
        <f>IFERROR(__xludf.DUMMYFUNCTION("max(split(J77,"",""))&gt;=8"),TRUE)</f>
        <v>1</v>
      </c>
      <c r="R77" s="55" t="b">
        <f t="shared" si="3"/>
        <v>0</v>
      </c>
      <c r="S77" s="54"/>
    </row>
    <row r="78">
      <c r="A78" s="54" t="s">
        <v>3117</v>
      </c>
      <c r="B78" s="54">
        <v>83.0</v>
      </c>
      <c r="C78" s="54">
        <v>13.0</v>
      </c>
      <c r="D78" s="54" t="s">
        <v>8</v>
      </c>
      <c r="E78" s="65" t="s">
        <v>3118</v>
      </c>
      <c r="F78" s="54" t="s">
        <v>1875</v>
      </c>
      <c r="G78" s="54"/>
      <c r="H78" s="54" t="str">
        <f t="shared" si="1"/>
        <v>(P13)</v>
      </c>
      <c r="I78" s="54" t="str">
        <f>IFERROR(__xludf.DUMMYFUNCTION("concatenate(ARRAYFORMULA(""P"" &amp; SPLIT(J78, "","") &amp; "",""))"),"P13,")</f>
        <v>P13,</v>
      </c>
      <c r="J78" s="54" t="str">
        <f>IFERROR(__xludf.DUMMYFUNCTION("ArrayFormula(textjoin("", "",true,unique(trim(split(M78,"","")),true)))"),"13")</f>
        <v>13</v>
      </c>
      <c r="K78" s="54"/>
      <c r="L78" s="54"/>
      <c r="M78" s="54">
        <f t="shared" si="2"/>
        <v>13</v>
      </c>
      <c r="N78" s="54">
        <f>IFERROR(__xludf.DUMMYFUNCTION("countunique(split(M78, "", ""))"),1.0)</f>
        <v>1</v>
      </c>
      <c r="O78" s="54">
        <f>IFERROR(__xludf.DUMMYFUNCTION("countif(split(K78,"",""),C78)"),0.0)</f>
        <v>0</v>
      </c>
      <c r="P78" s="55" t="b">
        <f>IFERROR(__xludf.DUMMYFUNCTION("MIN(split(J78,"",""))&lt;=7"),FALSE)</f>
        <v>0</v>
      </c>
      <c r="Q78" s="55" t="b">
        <f>IFERROR(__xludf.DUMMYFUNCTION("max(split(J78,"",""))&gt;=8"),TRUE)</f>
        <v>1</v>
      </c>
      <c r="R78" s="55" t="b">
        <f t="shared" si="3"/>
        <v>0</v>
      </c>
      <c r="S78" s="54"/>
    </row>
    <row r="79">
      <c r="A79" s="54" t="s">
        <v>3119</v>
      </c>
      <c r="B79" s="54">
        <v>84.0</v>
      </c>
      <c r="C79" s="54">
        <v>13.0</v>
      </c>
      <c r="D79" s="54" t="s">
        <v>8</v>
      </c>
      <c r="E79" s="65" t="s">
        <v>3120</v>
      </c>
      <c r="F79" s="54" t="s">
        <v>2741</v>
      </c>
      <c r="G79" s="54"/>
      <c r="H79" s="54" t="str">
        <f t="shared" si="1"/>
        <v>(P13)</v>
      </c>
      <c r="I79" s="54" t="str">
        <f>IFERROR(__xludf.DUMMYFUNCTION("concatenate(ARRAYFORMULA(""P"" &amp; SPLIT(J79, "","") &amp; "",""))"),"P13,")</f>
        <v>P13,</v>
      </c>
      <c r="J79" s="54" t="str">
        <f>IFERROR(__xludf.DUMMYFUNCTION("ArrayFormula(textjoin("", "",true,unique(trim(split(M79,"","")),true)))"),"13")</f>
        <v>13</v>
      </c>
      <c r="K79" s="54"/>
      <c r="L79" s="54"/>
      <c r="M79" s="54">
        <f t="shared" si="2"/>
        <v>13</v>
      </c>
      <c r="N79" s="54">
        <f>IFERROR(__xludf.DUMMYFUNCTION("countunique(split(M79, "", ""))"),1.0)</f>
        <v>1</v>
      </c>
      <c r="O79" s="54">
        <f>IFERROR(__xludf.DUMMYFUNCTION("countif(split(K79,"",""),C79)"),0.0)</f>
        <v>0</v>
      </c>
      <c r="P79" s="55" t="b">
        <f>IFERROR(__xludf.DUMMYFUNCTION("MIN(split(J79,"",""))&lt;=7"),FALSE)</f>
        <v>0</v>
      </c>
      <c r="Q79" s="55" t="b">
        <f>IFERROR(__xludf.DUMMYFUNCTION("max(split(J79,"",""))&gt;=8"),TRUE)</f>
        <v>1</v>
      </c>
      <c r="R79" s="55" t="b">
        <f t="shared" si="3"/>
        <v>0</v>
      </c>
      <c r="S79" s="54"/>
    </row>
    <row r="80">
      <c r="A80" s="54" t="s">
        <v>3127</v>
      </c>
      <c r="B80" s="54">
        <v>85.0</v>
      </c>
      <c r="C80" s="54">
        <v>14.0</v>
      </c>
      <c r="D80" s="54" t="s">
        <v>8</v>
      </c>
      <c r="E80" s="65" t="s">
        <v>3128</v>
      </c>
      <c r="F80" s="54" t="s">
        <v>2747</v>
      </c>
      <c r="G80" s="54"/>
      <c r="H80" s="54" t="str">
        <f t="shared" si="1"/>
        <v>(P14)</v>
      </c>
      <c r="I80" s="54" t="str">
        <f>IFERROR(__xludf.DUMMYFUNCTION("concatenate(ARRAYFORMULA(""P"" &amp; SPLIT(J80, "","") &amp; "",""))"),"P14,")</f>
        <v>P14,</v>
      </c>
      <c r="J80" s="54" t="str">
        <f>IFERROR(__xludf.DUMMYFUNCTION("ArrayFormula(textjoin("", "",true,unique(trim(split(M80,"","")),true)))"),"14")</f>
        <v>14</v>
      </c>
      <c r="K80" s="54"/>
      <c r="L80" s="54"/>
      <c r="M80" s="54">
        <f t="shared" si="2"/>
        <v>14</v>
      </c>
      <c r="N80" s="54">
        <f>IFERROR(__xludf.DUMMYFUNCTION("countunique(split(M80, "", ""))"),1.0)</f>
        <v>1</v>
      </c>
      <c r="O80" s="54">
        <f>IFERROR(__xludf.DUMMYFUNCTION("countif(split(K80,"",""),C80)"),0.0)</f>
        <v>0</v>
      </c>
      <c r="P80" s="55" t="b">
        <f>IFERROR(__xludf.DUMMYFUNCTION("MIN(split(J80,"",""))&lt;=7"),FALSE)</f>
        <v>0</v>
      </c>
      <c r="Q80" s="55" t="b">
        <f>IFERROR(__xludf.DUMMYFUNCTION("max(split(J80,"",""))&gt;=8"),TRUE)</f>
        <v>1</v>
      </c>
      <c r="R80" s="55" t="b">
        <f t="shared" si="3"/>
        <v>0</v>
      </c>
      <c r="S80" s="54"/>
    </row>
    <row r="81">
      <c r="A81" s="54" t="s">
        <v>3137</v>
      </c>
      <c r="B81" s="54">
        <v>86.0</v>
      </c>
      <c r="C81" s="54">
        <v>14.0</v>
      </c>
      <c r="D81" s="54" t="s">
        <v>8</v>
      </c>
      <c r="E81" s="65" t="s">
        <v>3362</v>
      </c>
      <c r="F81" s="54" t="s">
        <v>3363</v>
      </c>
      <c r="G81" s="54" t="s">
        <v>3364</v>
      </c>
      <c r="H81" s="54" t="str">
        <f t="shared" si="1"/>
        <v>(P14)</v>
      </c>
      <c r="I81" s="54" t="str">
        <f>IFERROR(__xludf.DUMMYFUNCTION("concatenate(ARRAYFORMULA(""P"" &amp; SPLIT(J81, "","") &amp; "",""))"),"P14,")</f>
        <v>P14,</v>
      </c>
      <c r="J81" s="54" t="str">
        <f>IFERROR(__xludf.DUMMYFUNCTION("ArrayFormula(textjoin("", "",true,unique(trim(split(M81,"","")),true)))"),"14")</f>
        <v>14</v>
      </c>
      <c r="K81" s="54" t="s">
        <v>3260</v>
      </c>
      <c r="L81" s="54" t="s">
        <v>3148</v>
      </c>
      <c r="M81" s="54" t="str">
        <f t="shared" si="2"/>
        <v>14, 14</v>
      </c>
      <c r="N81" s="54">
        <f>IFERROR(__xludf.DUMMYFUNCTION("countunique(split(M81, "", ""))"),1.0)</f>
        <v>1</v>
      </c>
      <c r="O81" s="54">
        <f>IFERROR(__xludf.DUMMYFUNCTION("countif(split(K81,"",""),C81)"),1.0)</f>
        <v>1</v>
      </c>
      <c r="P81" s="55" t="b">
        <f>IFERROR(__xludf.DUMMYFUNCTION("MIN(split(J81,"",""))&lt;=7"),FALSE)</f>
        <v>0</v>
      </c>
      <c r="Q81" s="55" t="b">
        <f>IFERROR(__xludf.DUMMYFUNCTION("max(split(J81,"",""))&gt;=8"),TRUE)</f>
        <v>1</v>
      </c>
      <c r="R81" s="55" t="b">
        <f t="shared" si="3"/>
        <v>0</v>
      </c>
      <c r="S81" s="54"/>
    </row>
    <row r="82">
      <c r="A82" s="54" t="s">
        <v>3140</v>
      </c>
      <c r="B82" s="54">
        <v>87.0</v>
      </c>
      <c r="C82" s="54">
        <v>14.0</v>
      </c>
      <c r="D82" s="54" t="s">
        <v>8</v>
      </c>
      <c r="E82" s="65" t="s">
        <v>3141</v>
      </c>
      <c r="F82" s="54" t="s">
        <v>2757</v>
      </c>
      <c r="G82" s="54"/>
      <c r="H82" s="54" t="str">
        <f t="shared" si="1"/>
        <v>(P14)</v>
      </c>
      <c r="I82" s="54" t="str">
        <f>IFERROR(__xludf.DUMMYFUNCTION("concatenate(ARRAYFORMULA(""P"" &amp; SPLIT(J82, "","") &amp; "",""))"),"P14,")</f>
        <v>P14,</v>
      </c>
      <c r="J82" s="54" t="str">
        <f>IFERROR(__xludf.DUMMYFUNCTION("ArrayFormula(textjoin("", "",true,unique(trim(split(M82,"","")),true)))"),"14")</f>
        <v>14</v>
      </c>
      <c r="K82" s="54"/>
      <c r="L82" s="54"/>
      <c r="M82" s="54">
        <f t="shared" si="2"/>
        <v>14</v>
      </c>
      <c r="N82" s="54">
        <f>IFERROR(__xludf.DUMMYFUNCTION("countunique(split(M82, "", ""))"),1.0)</f>
        <v>1</v>
      </c>
      <c r="O82" s="54">
        <f>IFERROR(__xludf.DUMMYFUNCTION("countif(split(K82,"",""),C82)"),0.0)</f>
        <v>0</v>
      </c>
      <c r="P82" s="55" t="b">
        <f>IFERROR(__xludf.DUMMYFUNCTION("MIN(split(J82,"",""))&lt;=7"),FALSE)</f>
        <v>0</v>
      </c>
      <c r="Q82" s="55" t="b">
        <f>IFERROR(__xludf.DUMMYFUNCTION("max(split(J82,"",""))&gt;=8"),TRUE)</f>
        <v>1</v>
      </c>
      <c r="R82" s="55" t="b">
        <f t="shared" si="3"/>
        <v>0</v>
      </c>
      <c r="S82" s="54"/>
    </row>
    <row r="83">
      <c r="A83" s="54" t="s">
        <v>3151</v>
      </c>
      <c r="B83" s="54">
        <v>88.0</v>
      </c>
      <c r="C83" s="54">
        <v>14.0</v>
      </c>
      <c r="D83" s="54" t="s">
        <v>8</v>
      </c>
      <c r="E83" s="65" t="s">
        <v>3365</v>
      </c>
      <c r="F83" s="54" t="s">
        <v>2782</v>
      </c>
      <c r="G83" s="54"/>
      <c r="H83" s="54" t="str">
        <f t="shared" si="1"/>
        <v>(P14)</v>
      </c>
      <c r="I83" s="54" t="str">
        <f>IFERROR(__xludf.DUMMYFUNCTION("concatenate(ARRAYFORMULA(""P"" &amp; SPLIT(J83, "","") &amp; "",""))"),"P14,")</f>
        <v>P14,</v>
      </c>
      <c r="J83" s="54" t="str">
        <f>IFERROR(__xludf.DUMMYFUNCTION("ArrayFormula(textjoin("", "",true,unique(trim(split(M83,"","")),true)))"),"14")</f>
        <v>14</v>
      </c>
      <c r="K83" s="54"/>
      <c r="L83" s="54"/>
      <c r="M83" s="54">
        <f t="shared" si="2"/>
        <v>14</v>
      </c>
      <c r="N83" s="54">
        <f>IFERROR(__xludf.DUMMYFUNCTION("countunique(split(M83, "", ""))"),1.0)</f>
        <v>1</v>
      </c>
      <c r="O83" s="54">
        <f>IFERROR(__xludf.DUMMYFUNCTION("countif(split(K83,"",""),C83)"),0.0)</f>
        <v>0</v>
      </c>
      <c r="P83" s="55" t="b">
        <f>IFERROR(__xludf.DUMMYFUNCTION("MIN(split(J83,"",""))&lt;=7"),FALSE)</f>
        <v>0</v>
      </c>
      <c r="Q83" s="55" t="b">
        <f>IFERROR(__xludf.DUMMYFUNCTION("max(split(J83,"",""))&gt;=8"),TRUE)</f>
        <v>1</v>
      </c>
      <c r="R83" s="55" t="b">
        <f t="shared" si="3"/>
        <v>0</v>
      </c>
      <c r="S83" s="54"/>
    </row>
    <row r="84">
      <c r="A84" s="54" t="s">
        <v>3155</v>
      </c>
      <c r="B84" s="54">
        <v>90.0</v>
      </c>
      <c r="C84" s="54">
        <v>14.0</v>
      </c>
      <c r="D84" s="54" t="s">
        <v>8</v>
      </c>
      <c r="E84" s="65" t="s">
        <v>890</v>
      </c>
      <c r="F84" s="54" t="s">
        <v>2787</v>
      </c>
      <c r="G84" s="54"/>
      <c r="H84" s="54" t="str">
        <f t="shared" si="1"/>
        <v>(P14)</v>
      </c>
      <c r="I84" s="54" t="str">
        <f>IFERROR(__xludf.DUMMYFUNCTION("concatenate(ARRAYFORMULA(""P"" &amp; SPLIT(J84, "","") &amp; "",""))"),"P14,")</f>
        <v>P14,</v>
      </c>
      <c r="J84" s="54" t="str">
        <f>IFERROR(__xludf.DUMMYFUNCTION("ArrayFormula(textjoin("", "",true,unique(trim(split(M84,"","")),true)))"),"14")</f>
        <v>14</v>
      </c>
      <c r="K84" s="54"/>
      <c r="L84" s="54"/>
      <c r="M84" s="54">
        <f t="shared" si="2"/>
        <v>14</v>
      </c>
      <c r="N84" s="54">
        <f>IFERROR(__xludf.DUMMYFUNCTION("countunique(split(M84, "", ""))"),1.0)</f>
        <v>1</v>
      </c>
      <c r="O84" s="54">
        <f>IFERROR(__xludf.DUMMYFUNCTION("countif(split(K84,"",""),C84)"),0.0)</f>
        <v>0</v>
      </c>
      <c r="P84" s="55" t="b">
        <f>IFERROR(__xludf.DUMMYFUNCTION("MIN(split(J84,"",""))&lt;=7"),FALSE)</f>
        <v>0</v>
      </c>
      <c r="Q84" s="55" t="b">
        <f>IFERROR(__xludf.DUMMYFUNCTION("max(split(J84,"",""))&gt;=8"),TRUE)</f>
        <v>1</v>
      </c>
      <c r="R84" s="55" t="b">
        <f t="shared" si="3"/>
        <v>0</v>
      </c>
      <c r="S84" s="54"/>
    </row>
  </sheetData>
  <printOptions gridLines="1" horizontalCentered="1"/>
  <pageMargins bottom="0.75" footer="0.0" header="0.0" left="0.7" right="0.7" top="0.75"/>
  <pageSetup fitToHeight="0" paperSize="9" cellComments="atEnd" orientation="landscape" pageOrder="overThenDown"/>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1" max="1" width="14.71"/>
    <col customWidth="1" min="2" max="2" width="12.71"/>
    <col customWidth="1" min="3" max="3" width="14.29"/>
    <col customWidth="1" min="4" max="4" width="8.86"/>
    <col customWidth="1" min="5" max="5" width="20.14"/>
    <col customWidth="1" min="6" max="6" width="23.57"/>
    <col customWidth="1" min="7" max="7" width="57.0"/>
    <col customWidth="1" min="8" max="8" width="46.29"/>
    <col customWidth="1" min="9" max="9" width="53.43"/>
  </cols>
  <sheetData>
    <row r="1">
      <c r="A1" s="47" t="s">
        <v>2789</v>
      </c>
      <c r="B1" s="1" t="s">
        <v>0</v>
      </c>
      <c r="C1" s="1" t="s">
        <v>1</v>
      </c>
      <c r="D1" s="1" t="s">
        <v>1953</v>
      </c>
      <c r="E1" s="1" t="s">
        <v>2</v>
      </c>
      <c r="F1" s="1" t="s">
        <v>3</v>
      </c>
      <c r="G1" s="1" t="s">
        <v>2790</v>
      </c>
      <c r="H1" s="1" t="s">
        <v>5</v>
      </c>
      <c r="I1" s="1" t="s">
        <v>2791</v>
      </c>
    </row>
    <row r="2">
      <c r="A2" s="48" t="s">
        <v>2792</v>
      </c>
      <c r="B2" s="2">
        <f>IFERROR(__xludf.DUMMYFUNCTION("filter('Quotes-Final'!A2:G394, 'Quotes-Final'!E2:E394=""recommendation"")"),1.0)</f>
        <v>1</v>
      </c>
      <c r="C2" s="2">
        <f>IFERROR(__xludf.DUMMYFUNCTION("""COMPUTED_VALUE"""),3.0)</f>
        <v>3</v>
      </c>
      <c r="D2" s="2" t="str">
        <f>IFERROR(__xludf.DUMMYFUNCTION("""COMPUTED_VALUE"""),"R1 / R3")</f>
        <v>R1 / R3</v>
      </c>
      <c r="E2" s="2" t="str">
        <f>IFERROR(__xludf.DUMMYFUNCTION("""COMPUTED_VALUE"""),"General Challenges and Recommendations")</f>
        <v>General Challenges and Recommendations</v>
      </c>
      <c r="F2" s="2" t="str">
        <f>IFERROR(__xludf.DUMMYFUNCTION("""COMPUTED_VALUE"""),"recommendation")</f>
        <v>recommendation</v>
      </c>
      <c r="G2" s="3" t="str">
        <f>IFERROR(__xludf.DUMMYFUNCTION("""COMPUTED_VALUE"""),"[...] Amazon tem às vezes uns convênios, que acho que agora que o IF tá fazendo, que que disponibiliza essas contas de aluno que eles pudessem testar durante um um período")</f>
        <v>[...] Amazon tem às vezes uns convênios, que acho que agora que o IF tá fazendo, que que disponibiliza essas contas de aluno que eles pudessem testar durante um um período</v>
      </c>
      <c r="H2" s="3" t="str">
        <f>IFERROR(__xludf.DUMMYFUNCTION("""COMPUTED_VALUE"""),"Cloud service companies such as AWS, through a contract with an educational institution, can provide the computing resource for the student's use.")</f>
        <v>Cloud service companies such as AWS, through a contract with an educational institution, can provide the computing resource for the student's use.</v>
      </c>
      <c r="I2" s="2" t="s">
        <v>3366</v>
      </c>
    </row>
    <row r="3">
      <c r="A3" s="48" t="s">
        <v>2860</v>
      </c>
      <c r="B3" s="2">
        <f>IFERROR(__xludf.DUMMYFUNCTION("""COMPUTED_VALUE"""),1.0)</f>
        <v>1</v>
      </c>
      <c r="C3" s="2">
        <f>IFERROR(__xludf.DUMMYFUNCTION("""COMPUTED_VALUE"""),4.0)</f>
        <v>4</v>
      </c>
      <c r="D3" s="2" t="str">
        <f>IFERROR(__xludf.DUMMYFUNCTION("""COMPUTED_VALUE"""),"R1 / R2")</f>
        <v>R1 / R2</v>
      </c>
      <c r="E3" s="2" t="str">
        <f>IFERROR(__xludf.DUMMYFUNCTION("""COMPUTED_VALUE"""),"General Challenges and Recommendations")</f>
        <v>General Challenges and Recommendations</v>
      </c>
      <c r="F3" s="2" t="str">
        <f>IFERROR(__xludf.DUMMYFUNCTION("""COMPUTED_VALUE"""),"recommendation")</f>
        <v>recommendation</v>
      </c>
      <c r="G3" s="3" t="str">
        <f>IFERROR(__xludf.DUMMYFUNCTION("""COMPUTED_VALUE"""),"[...]quando você não tem recursos na estrutura que você tá vinculado, como uma instituição, você tem que delegar que o aluno realmente ache as formas dele[...]")</f>
        <v>[...]quando você não tem recursos na estrutura que você tá vinculado, como uma instituição, você tem que delegar que o aluno realmente ache as formas dele[...]</v>
      </c>
      <c r="H3" s="3" t="str">
        <f>IFERROR(__xludf.DUMMYFUNCTION("""COMPUTED_VALUE"""),"Delegate responsibility to the student.")</f>
        <v>Delegate responsibility to the student.</v>
      </c>
      <c r="I3" s="2" t="s">
        <v>3367</v>
      </c>
    </row>
    <row r="4">
      <c r="A4" s="48" t="s">
        <v>2794</v>
      </c>
      <c r="B4" s="2">
        <f>IFERROR(__xludf.DUMMYFUNCTION("""COMPUTED_VALUE"""),1.0)</f>
        <v>1</v>
      </c>
      <c r="C4" s="12">
        <f>IFERROR(__xludf.DUMMYFUNCTION("""COMPUTED_VALUE"""),4.0)</f>
        <v>4</v>
      </c>
      <c r="D4" s="12" t="str">
        <f>IFERROR(__xludf.DUMMYFUNCTION("""COMPUTED_VALUE"""),"R1 / R2")</f>
        <v>R1 / R2</v>
      </c>
      <c r="E4" s="12" t="str">
        <f>IFERROR(__xludf.DUMMYFUNCTION("""COMPUTED_VALUE"""),"General Challenges and Recommendations")</f>
        <v>General Challenges and Recommendations</v>
      </c>
      <c r="F4" s="12" t="str">
        <f>IFERROR(__xludf.DUMMYFUNCTION("""COMPUTED_VALUE"""),"recommendation")</f>
        <v>recommendation</v>
      </c>
      <c r="G4" s="3" t="str">
        <f>IFERROR(__xludf.DUMMYFUNCTION("""COMPUTED_VALUE"""),"[...] montar cenários que eles consigam executar no próprio computador")</f>
        <v>[...] montar cenários que eles consigam executar no próprio computador</v>
      </c>
      <c r="H4" s="3" t="str">
        <f>IFERROR(__xludf.DUMMYFUNCTION("""COMPUTED_VALUE"""),"Build scenarios that students can run on their own computer.")</f>
        <v>Build scenarios that students can run on their own computer.</v>
      </c>
      <c r="I4" s="2" t="s">
        <v>3368</v>
      </c>
    </row>
    <row r="5">
      <c r="A5" s="48" t="s">
        <v>2796</v>
      </c>
      <c r="B5" s="2">
        <f>IFERROR(__xludf.DUMMYFUNCTION("""COMPUTED_VALUE"""),1.0)</f>
        <v>1</v>
      </c>
      <c r="C5" s="2">
        <f>IFERROR(__xludf.DUMMYFUNCTION("""COMPUTED_VALUE"""),4.0)</f>
        <v>4</v>
      </c>
      <c r="D5" s="2" t="str">
        <f>IFERROR(__xludf.DUMMYFUNCTION("""COMPUTED_VALUE"""),"R1 / R2")</f>
        <v>R1 / R2</v>
      </c>
      <c r="E5" s="2" t="str">
        <f>IFERROR(__xludf.DUMMYFUNCTION("""COMPUTED_VALUE"""),"General Challenges and Recommendations")</f>
        <v>General Challenges and Recommendations</v>
      </c>
      <c r="F5" s="2" t="str">
        <f>IFERROR(__xludf.DUMMYFUNCTION("""COMPUTED_VALUE"""),"recommendation")</f>
        <v>recommendation</v>
      </c>
      <c r="G5" s="3" t="str">
        <f>IFERROR(__xludf.DUMMYFUNCTION("""COMPUTED_VALUE"""),"[...] às vezes abrir mão de certas coisas que você gostaria de lecionar [...] em detrimento de que não é o aluno não tem a capacidade de executar")</f>
        <v>[...] às vezes abrir mão de certas coisas que você gostaria de lecionar [...] em detrimento de que não é o aluno não tem a capacidade de executar</v>
      </c>
      <c r="H5" s="3" t="str">
        <f>IFERROR(__xludf.DUMMYFUNCTION("""COMPUTED_VALUE"""),"Give up teaching content that the students cannot run on their machine.")</f>
        <v>Give up teaching content that the students cannot run on their machine.</v>
      </c>
      <c r="I5" s="2" t="s">
        <v>3369</v>
      </c>
    </row>
    <row r="6">
      <c r="A6" s="48" t="s">
        <v>2798</v>
      </c>
      <c r="B6" s="2">
        <f>IFERROR(__xludf.DUMMYFUNCTION("""COMPUTED_VALUE"""),1.0)</f>
        <v>1</v>
      </c>
      <c r="C6" s="2">
        <f>IFERROR(__xludf.DUMMYFUNCTION("""COMPUTED_VALUE"""),5.0)</f>
        <v>5</v>
      </c>
      <c r="D6" s="2" t="str">
        <f>IFERROR(__xludf.DUMMYFUNCTION("""COMPUTED_VALUE"""),"R2 / R3")</f>
        <v>R2 / R3</v>
      </c>
      <c r="E6" s="2" t="str">
        <f>IFERROR(__xludf.DUMMYFUNCTION("""COMPUTED_VALUE"""),"DevOps Concepts")</f>
        <v>DevOps Concepts</v>
      </c>
      <c r="F6" s="2" t="str">
        <f>IFERROR(__xludf.DUMMYFUNCTION("""COMPUTED_VALUE"""),"recommendation")</f>
        <v>recommendation</v>
      </c>
      <c r="G6" s="3" t="str">
        <f>IFERROR(__xludf.DUMMYFUNCTION("""COMPUTED_VALUE"""),"[...]soluções que o aluno possa executar no própria computador dele. [...]adaptar pra algo talvez de menos demanda computacional.")</f>
        <v>[...]soluções que o aluno possa executar no própria computador dele. [...]adaptar pra algo talvez de menos demanda computacional.</v>
      </c>
      <c r="H6" s="3" t="str">
        <f>IFERROR(__xludf.DUMMYFUNCTION("""COMPUTED_VALUE"""),"Take advantage of the student's own computational resource and adapt to something that requires less computational demand.")</f>
        <v>Take advantage of the student's own computational resource and adapt to something that requires less computational demand.</v>
      </c>
      <c r="I6" s="2" t="s">
        <v>3370</v>
      </c>
    </row>
    <row r="7">
      <c r="A7" s="48" t="s">
        <v>2800</v>
      </c>
      <c r="B7" s="2">
        <f>IFERROR(__xludf.DUMMYFUNCTION("""COMPUTED_VALUE"""),1.0)</f>
        <v>1</v>
      </c>
      <c r="C7" s="2">
        <f>IFERROR(__xludf.DUMMYFUNCTION("""COMPUTED_VALUE"""),7.0)</f>
        <v>7</v>
      </c>
      <c r="D7" s="2" t="str">
        <f>IFERROR(__xludf.DUMMYFUNCTION("""COMPUTED_VALUE"""),"R1 / R2")</f>
        <v>R1 / R2</v>
      </c>
      <c r="E7" s="2" t="str">
        <f>IFERROR(__xludf.DUMMYFUNCTION("""COMPUTED_VALUE"""),"DevOps Concepts")</f>
        <v>DevOps Concepts</v>
      </c>
      <c r="F7" s="2" t="str">
        <f>IFERROR(__xludf.DUMMYFUNCTION("""COMPUTED_VALUE"""),"recommendation")</f>
        <v>recommendation</v>
      </c>
      <c r="G7" s="3" t="str">
        <f>IFERROR(__xludf.DUMMYFUNCTION("""COMPUTED_VALUE"""),"[...] isso fosse de alguma forma harmonizada")</f>
        <v>[...] isso fosse de alguma forma harmonizada</v>
      </c>
      <c r="H7" s="3" t="str">
        <f>IFERROR(__xludf.DUMMYFUNCTION("""COMPUTED_VALUE"""),"Define what are the devops concepts.")</f>
        <v>Define what are the devops concepts.</v>
      </c>
      <c r="I7" s="2" t="s">
        <v>3371</v>
      </c>
    </row>
    <row r="8">
      <c r="A8" s="48" t="s">
        <v>2802</v>
      </c>
      <c r="B8" s="2">
        <f>IFERROR(__xludf.DUMMYFUNCTION("""COMPUTED_VALUE"""),1.0)</f>
        <v>1</v>
      </c>
      <c r="C8" s="2">
        <f>IFERROR(__xludf.DUMMYFUNCTION("""COMPUTED_VALUE"""),8.0)</f>
        <v>8</v>
      </c>
      <c r="D8" s="2" t="str">
        <f>IFERROR(__xludf.DUMMYFUNCTION("""COMPUTED_VALUE"""),"R2 / R3")</f>
        <v>R2 / R3</v>
      </c>
      <c r="E8" s="2" t="str">
        <f>IFERROR(__xludf.DUMMYFUNCTION("""COMPUTED_VALUE"""),"Assessment")</f>
        <v>Assessment</v>
      </c>
      <c r="F8" s="2" t="str">
        <f>IFERROR(__xludf.DUMMYFUNCTION("""COMPUTED_VALUE"""),"recommendation")</f>
        <v>recommendation</v>
      </c>
      <c r="G8" s="3" t="str">
        <f>IFERROR(__xludf.DUMMYFUNCTION("""COMPUTED_VALUE"""),"Você não consegue avaliar com prova, você tem que avaliar com projetos com algum tipo de atividade.")</f>
        <v>Você não consegue avaliar com prova, você tem que avaliar com projetos com algum tipo de atividade.</v>
      </c>
      <c r="H8" s="3" t="str">
        <f>IFERROR(__xludf.DUMMYFUNCTION("""COMPUTED_VALUE"""),"You can't assess students' DevOps learning with a test, it's necessary to assess with projects, with some kind of hands-on activity.")</f>
        <v>You can't assess students' DevOps learning with a test, it's necessary to assess with projects, with some kind of hands-on activity.</v>
      </c>
      <c r="I8" s="2" t="s">
        <v>3372</v>
      </c>
    </row>
    <row r="9">
      <c r="A9" s="48" t="s">
        <v>2804</v>
      </c>
      <c r="B9" s="2">
        <f>IFERROR(__xludf.DUMMYFUNCTION("""COMPUTED_VALUE"""),1.0)</f>
        <v>1</v>
      </c>
      <c r="C9" s="2">
        <f>IFERROR(__xludf.DUMMYFUNCTION("""COMPUTED_VALUE"""),9.0)</f>
        <v>9</v>
      </c>
      <c r="D9" s="2" t="str">
        <f>IFERROR(__xludf.DUMMYFUNCTION("""COMPUTED_VALUE"""),"R1 / R3")</f>
        <v>R1 / R3</v>
      </c>
      <c r="E9" s="2" t="str">
        <f>IFERROR(__xludf.DUMMYFUNCTION("""COMPUTED_VALUE"""),"Assessment")</f>
        <v>Assessment</v>
      </c>
      <c r="F9" s="2" t="str">
        <f>IFERROR(__xludf.DUMMYFUNCTION("""COMPUTED_VALUE"""),"recommendation")</f>
        <v>recommendation</v>
      </c>
      <c r="G9" s="3" t="str">
        <f>IFERROR(__xludf.DUMMYFUNCTION("""COMPUTED_VALUE"""),"[...] Com algum tipo de atividade prática. ")</f>
        <v>[...] Com algum tipo de atividade prática. </v>
      </c>
      <c r="H9" s="3" t="str">
        <f>IFERROR(__xludf.DUMMYFUNCTION("""COMPUTED_VALUE"""),"DevOps teaching with practical activities.")</f>
        <v>DevOps teaching with practical activities.</v>
      </c>
      <c r="I9" s="2" t="s">
        <v>3373</v>
      </c>
    </row>
    <row r="10">
      <c r="A10" s="48" t="s">
        <v>2806</v>
      </c>
      <c r="B10" s="2">
        <f>IFERROR(__xludf.DUMMYFUNCTION("""COMPUTED_VALUE"""),1.0)</f>
        <v>1</v>
      </c>
      <c r="C10" s="2">
        <f>IFERROR(__xludf.DUMMYFUNCTION("""COMPUTED_VALUE"""),9.0)</f>
        <v>9</v>
      </c>
      <c r="D10" s="2" t="str">
        <f>IFERROR(__xludf.DUMMYFUNCTION("""COMPUTED_VALUE"""),"R1 / R3")</f>
        <v>R1 / R3</v>
      </c>
      <c r="E10" s="2" t="str">
        <f>IFERROR(__xludf.DUMMYFUNCTION("""COMPUTED_VALUE"""),"Assessment")</f>
        <v>Assessment</v>
      </c>
      <c r="F10" s="2" t="str">
        <f>IFERROR(__xludf.DUMMYFUNCTION("""COMPUTED_VALUE"""),"recommendation")</f>
        <v>recommendation</v>
      </c>
      <c r="G10" s="3" t="str">
        <f>IFERROR(__xludf.DUMMYFUNCTION("""COMPUTED_VALUE"""),"Sempre vai ser baseado em projeto")</f>
        <v>Sempre vai ser baseado em projeto</v>
      </c>
      <c r="H10" s="3" t="str">
        <f>IFERROR(__xludf.DUMMYFUNCTION("""COMPUTED_VALUE"""),"DevOps teaching should be project-based.")</f>
        <v>DevOps teaching should be project-based.</v>
      </c>
      <c r="I10" s="2" t="s">
        <v>3374</v>
      </c>
    </row>
    <row r="11">
      <c r="A11" s="48" t="s">
        <v>2808</v>
      </c>
      <c r="B11" s="2">
        <f>IFERROR(__xludf.DUMMYFUNCTION("""COMPUTED_VALUE"""),1.0)</f>
        <v>1</v>
      </c>
      <c r="C11" s="2">
        <f>IFERROR(__xludf.DUMMYFUNCTION("""COMPUTED_VALUE"""),9.0)</f>
        <v>9</v>
      </c>
      <c r="D11" s="2" t="str">
        <f>IFERROR(__xludf.DUMMYFUNCTION("""COMPUTED_VALUE"""),"R1 / R3")</f>
        <v>R1 / R3</v>
      </c>
      <c r="E11" s="2" t="str">
        <f>IFERROR(__xludf.DUMMYFUNCTION("""COMPUTED_VALUE"""),"Assessment")</f>
        <v>Assessment</v>
      </c>
      <c r="F11" s="2" t="str">
        <f>IFERROR(__xludf.DUMMYFUNCTION("""COMPUTED_VALUE"""),"recommendation")</f>
        <v>recommendation</v>
      </c>
      <c r="G11" s="3" t="str">
        <f>IFERROR(__xludf.DUMMYFUNCTION("""COMPUTED_VALUE""")," [...] poder avaliar as tem que ser um roteiro de ações práticas que o aluno tem que realizar e você vai avaliar enquanto aquele aluno tá fazendo aquilo ali")</f>
        <v> [...] poder avaliar as tem que ser um roteiro de ações práticas que o aluno tem que realizar e você vai avaliar enquanto aquele aluno tá fazendo aquilo ali</v>
      </c>
      <c r="H11" s="3" t="str">
        <f>IFERROR(__xludf.DUMMYFUNCTION("""COMPUTED_VALUE"""),"Create script for practical devops activities.")</f>
        <v>Create script for practical devops activities.</v>
      </c>
      <c r="I11" s="2" t="s">
        <v>3375</v>
      </c>
    </row>
    <row r="12">
      <c r="A12" s="48" t="s">
        <v>2810</v>
      </c>
      <c r="B12" s="2">
        <f>IFERROR(__xludf.DUMMYFUNCTION("""COMPUTED_VALUE"""),1.0)</f>
        <v>1</v>
      </c>
      <c r="C12" s="12">
        <f>IFERROR(__xludf.DUMMYFUNCTION("""COMPUTED_VALUE"""),10.0)</f>
        <v>10</v>
      </c>
      <c r="D12" s="2" t="str">
        <f>IFERROR(__xludf.DUMMYFUNCTION("""COMPUTED_VALUE"""),"R1 / R2")</f>
        <v>R1 / R2</v>
      </c>
      <c r="E12" s="12" t="str">
        <f>IFERROR(__xludf.DUMMYFUNCTION("""COMPUTED_VALUE"""),"Tool / Technology")</f>
        <v>Tool / Technology</v>
      </c>
      <c r="F12" s="2" t="str">
        <f>IFERROR(__xludf.DUMMYFUNCTION("""COMPUTED_VALUE"""),"recommendation")</f>
        <v>recommendation</v>
      </c>
      <c r="G12" s="3" t="str">
        <f>IFERROR(__xludf.DUMMYFUNCTION("""COMPUTED_VALUE"""),"eu acho que uma candidata potencial é o GNS3")</f>
        <v>eu acho que uma candidata potencial é o GNS3</v>
      </c>
      <c r="H12" s="3" t="str">
        <f>IFERROR(__xludf.DUMMYFUNCTION("""COMPUTED_VALUE"""),"The GNS3 tool is a potential candidate as a tool for teaching DevOps.")</f>
        <v>The GNS3 tool is a potential candidate as a tool for teaching DevOps.</v>
      </c>
      <c r="I12" s="2" t="s">
        <v>3376</v>
      </c>
    </row>
    <row r="13">
      <c r="A13" s="48" t="s">
        <v>2812</v>
      </c>
      <c r="B13" s="2">
        <f>IFERROR(__xludf.DUMMYFUNCTION("""COMPUTED_VALUE"""),1.0)</f>
        <v>1</v>
      </c>
      <c r="C13" s="2">
        <f>IFERROR(__xludf.DUMMYFUNCTION("""COMPUTED_VALUE"""),10.0)</f>
        <v>10</v>
      </c>
      <c r="D13" s="2" t="str">
        <f>IFERROR(__xludf.DUMMYFUNCTION("""COMPUTED_VALUE"""),"R1 / R2")</f>
        <v>R1 / R2</v>
      </c>
      <c r="E13" s="2" t="str">
        <f>IFERROR(__xludf.DUMMYFUNCTION("""COMPUTED_VALUE"""),"Tool / Technology")</f>
        <v>Tool / Technology</v>
      </c>
      <c r="F13" s="2" t="str">
        <f>IFERROR(__xludf.DUMMYFUNCTION("""COMPUTED_VALUE"""),"recommendation")</f>
        <v>recommendation</v>
      </c>
      <c r="G13" s="3" t="str">
        <f>IFERROR(__xludf.DUMMYFUNCTION("""COMPUTED_VALUE"""),"todo o ferramental do devops por trás disso [...] tipo, o ansible ou o terraform aqui, ou qualquer outras dessas que outros sabores de automatizadores e de deployment e coisa desse tipo que cê pode usar")</f>
        <v>todo o ferramental do devops por trás disso [...] tipo, o ansible ou o terraform aqui, ou qualquer outras dessas que outros sabores de automatizadores e de deployment e coisa desse tipo que cê pode usar</v>
      </c>
      <c r="H13" s="3" t="str">
        <f>IFERROR(__xludf.DUMMYFUNCTION("""COMPUTED_VALUE"""),"Ansible as deployment automation tools can be used in teaching DevOps.")</f>
        <v>Ansible as deployment automation tools can be used in teaching DevOps.</v>
      </c>
      <c r="I13" s="2" t="s">
        <v>3377</v>
      </c>
    </row>
    <row r="14">
      <c r="A14" s="48" t="s">
        <v>3378</v>
      </c>
      <c r="B14" s="2">
        <f>IFERROR(__xludf.DUMMYFUNCTION("""COMPUTED_VALUE"""),1.0)</f>
        <v>1</v>
      </c>
      <c r="C14" s="2">
        <f>IFERROR(__xludf.DUMMYFUNCTION("""COMPUTED_VALUE"""),10.0)</f>
        <v>10</v>
      </c>
      <c r="D14" s="2" t="str">
        <f>IFERROR(__xludf.DUMMYFUNCTION("""COMPUTED_VALUE"""),"R1 / R2")</f>
        <v>R1 / R2</v>
      </c>
      <c r="E14" s="2" t="str">
        <f>IFERROR(__xludf.DUMMYFUNCTION("""COMPUTED_VALUE"""),"Tool / Technology")</f>
        <v>Tool / Technology</v>
      </c>
      <c r="F14" s="2" t="str">
        <f>IFERROR(__xludf.DUMMYFUNCTION("""COMPUTED_VALUE"""),"recommendation")</f>
        <v>recommendation</v>
      </c>
      <c r="G14" s="3" t="str">
        <f>IFERROR(__xludf.DUMMYFUNCTION("""COMPUTED_VALUE"""),"todo o ferramental do devops por trás disso [...] tipo, o ansible ou o terraform aqui, ou qualquer outras dessas que outros sabores de automatizadores e de deployment e coisa desse tipo que cê pode usar")</f>
        <v>todo o ferramental do devops por trás disso [...] tipo, o ansible ou o terraform aqui, ou qualquer outras dessas que outros sabores de automatizadores e de deployment e coisa desse tipo que cê pode usar</v>
      </c>
      <c r="H14" s="3" t="str">
        <f>IFERROR(__xludf.DUMMYFUNCTION("""COMPUTED_VALUE"""),"Terraform as a deployment automation tool can be used to teach devops.")</f>
        <v>Terraform as a deployment automation tool can be used to teach devops.</v>
      </c>
      <c r="I14" s="2" t="s">
        <v>3379</v>
      </c>
    </row>
    <row r="15">
      <c r="A15" s="48" t="s">
        <v>2814</v>
      </c>
      <c r="B15" s="2">
        <f>IFERROR(__xludf.DUMMYFUNCTION("""COMPUTED_VALUE"""),1.0)</f>
        <v>1</v>
      </c>
      <c r="C15" s="2">
        <f>IFERROR(__xludf.DUMMYFUNCTION("""COMPUTED_VALUE"""),11.0)</f>
        <v>11</v>
      </c>
      <c r="D15" s="2" t="str">
        <f>IFERROR(__xludf.DUMMYFUNCTION("""COMPUTED_VALUE"""),"R2 / R3")</f>
        <v>R2 / R3</v>
      </c>
      <c r="E15" s="2" t="str">
        <f>IFERROR(__xludf.DUMMYFUNCTION("""COMPUTED_VALUE"""),"Pedagogy")</f>
        <v>Pedagogy</v>
      </c>
      <c r="F15" s="2" t="str">
        <f>IFERROR(__xludf.DUMMYFUNCTION("""COMPUTED_VALUE"""),"recommendation")</f>
        <v>recommendation</v>
      </c>
      <c r="G15" s="3" t="str">
        <f>IFERROR(__xludf.DUMMYFUNCTION("""COMPUTED_VALUE"""),"[...] pra mim a abordagem, do ponto de vista de método de ensino, seria realmente baseado em projetos e com atividades práticas ao longo da disciplina.")</f>
        <v>[...] pra mim a abordagem, do ponto de vista de método de ensino, seria realmente baseado em projetos e com atividades práticas ao longo da disciplina.</v>
      </c>
      <c r="H15" s="3" t="str">
        <f>IFERROR(__xludf.DUMMYFUNCTION("""COMPUTED_VALUE"""),"Incremental teaching method based on projects and practical activities.")</f>
        <v>Incremental teaching method based on projects and practical activities.</v>
      </c>
      <c r="I15" s="2" t="s">
        <v>3380</v>
      </c>
    </row>
    <row r="16">
      <c r="A16" s="48" t="s">
        <v>2816</v>
      </c>
      <c r="B16" s="2">
        <f>IFERROR(__xludf.DUMMYFUNCTION("""COMPUTED_VALUE"""),1.0)</f>
        <v>1</v>
      </c>
      <c r="C16" s="12">
        <f>IFERROR(__xludf.DUMMYFUNCTION("""COMPUTED_VALUE"""),12.0)</f>
        <v>12</v>
      </c>
      <c r="D16" s="2" t="str">
        <f>IFERROR(__xludf.DUMMYFUNCTION("""COMPUTED_VALUE"""),"R1 / R3")</f>
        <v>R1 / R3</v>
      </c>
      <c r="E16" s="12" t="str">
        <f>IFERROR(__xludf.DUMMYFUNCTION("""COMPUTED_VALUE"""),"Class Preparation")</f>
        <v>Class Preparation</v>
      </c>
      <c r="F16" s="2" t="str">
        <f>IFERROR(__xludf.DUMMYFUNCTION("""COMPUTED_VALUE"""),"recommendation")</f>
        <v>recommendation</v>
      </c>
      <c r="G16" s="3" t="str">
        <f>IFERROR(__xludf.DUMMYFUNCTION("""COMPUTED_VALUE"""),"A disciplina prática ela ter um equilíbrio entre conceito e prática, sendo que a prática é o mais importante")</f>
        <v>A disciplina prática ela ter um equilíbrio entre conceito e prática, sendo que a prática é o mais importante</v>
      </c>
      <c r="H16" s="3" t="str">
        <f>IFERROR(__xludf.DUMMYFUNCTION("""COMPUTED_VALUE"""),"Balance the presentation of the concepts and the practicals.")</f>
        <v>Balance the presentation of the concepts and the practicals.</v>
      </c>
      <c r="I16" s="2" t="s">
        <v>3381</v>
      </c>
    </row>
    <row r="17">
      <c r="A17" s="48" t="s">
        <v>2818</v>
      </c>
      <c r="B17" s="2">
        <f>IFERROR(__xludf.DUMMYFUNCTION("""COMPUTED_VALUE"""),1.0)</f>
        <v>1</v>
      </c>
      <c r="C17" s="2">
        <f>IFERROR(__xludf.DUMMYFUNCTION("""COMPUTED_VALUE"""),12.0)</f>
        <v>12</v>
      </c>
      <c r="D17" s="2" t="str">
        <f>IFERROR(__xludf.DUMMYFUNCTION("""COMPUTED_VALUE"""),"R1 / R3")</f>
        <v>R1 / R3</v>
      </c>
      <c r="E17" s="2" t="str">
        <f>IFERROR(__xludf.DUMMYFUNCTION("""COMPUTED_VALUE"""),"Class Preparation")</f>
        <v>Class Preparation</v>
      </c>
      <c r="F17" s="2" t="str">
        <f>IFERROR(__xludf.DUMMYFUNCTION("""COMPUTED_VALUE"""),"recommendation")</f>
        <v>recommendation</v>
      </c>
      <c r="G17" s="3" t="str">
        <f>IFERROR(__xludf.DUMMYFUNCTION("""COMPUTED_VALUE"""),"os conceitos, eles precisam ser objetivamente apresentados, mas que não tem muita discussão sobre")</f>
        <v>os conceitos, eles precisam ser objetivamente apresentados, mas que não tem muita discussão sobre</v>
      </c>
      <c r="H17" s="3" t="str">
        <f>IFERROR(__xludf.DUMMYFUNCTION("""COMPUTED_VALUE"""),"Do not delve so deeply into discussions about the theoretical part of devops.")</f>
        <v>Do not delve so deeply into discussions about the theoretical part of devops.</v>
      </c>
      <c r="I17" s="2" t="s">
        <v>3382</v>
      </c>
    </row>
    <row r="18">
      <c r="A18" s="48" t="s">
        <v>2820</v>
      </c>
      <c r="B18" s="2">
        <f>IFERROR(__xludf.DUMMYFUNCTION("""COMPUTED_VALUE"""),1.0)</f>
        <v>1</v>
      </c>
      <c r="C18" s="2">
        <f>IFERROR(__xludf.DUMMYFUNCTION("""COMPUTED_VALUE"""),12.0)</f>
        <v>12</v>
      </c>
      <c r="D18" s="2" t="str">
        <f>IFERROR(__xludf.DUMMYFUNCTION("""COMPUTED_VALUE"""),"R1 / R3")</f>
        <v>R1 / R3</v>
      </c>
      <c r="E18" s="2" t="str">
        <f>IFERROR(__xludf.DUMMYFUNCTION("""COMPUTED_VALUE"""),"Class Preparation")</f>
        <v>Class Preparation</v>
      </c>
      <c r="F18" s="2" t="str">
        <f>IFERROR(__xludf.DUMMYFUNCTION("""COMPUTED_VALUE"""),"recommendation")</f>
        <v>recommendation</v>
      </c>
      <c r="G18" s="3" t="str">
        <f>IFERROR(__xludf.DUMMYFUNCTION("""COMPUTED_VALUE"""),"a prática que deve ocupar ali oitenta por cento da aula, pelo menos")</f>
        <v>a prática que deve ocupar ali oitenta por cento da aula, pelo menos</v>
      </c>
      <c r="H18" s="3" t="str">
        <f>IFERROR(__xludf.DUMMYFUNCTION("""COMPUTED_VALUE"""),"The practical part must occupy at least 80% of the class.")</f>
        <v>The practical part must occupy at least 80% of the class.</v>
      </c>
      <c r="I18" s="2" t="s">
        <v>3383</v>
      </c>
    </row>
    <row r="19">
      <c r="A19" s="48" t="s">
        <v>2822</v>
      </c>
      <c r="B19" s="2">
        <f>IFERROR(__xludf.DUMMYFUNCTION("""COMPUTED_VALUE"""),1.0)</f>
        <v>1</v>
      </c>
      <c r="C19" s="2">
        <f>IFERROR(__xludf.DUMMYFUNCTION("""COMPUTED_VALUE"""),15.0)</f>
        <v>15</v>
      </c>
      <c r="D19" s="2" t="str">
        <f>IFERROR(__xludf.DUMMYFUNCTION("""COMPUTED_VALUE"""),"R1 / R3")</f>
        <v>R1 / R3</v>
      </c>
      <c r="E19" s="2" t="str">
        <f>IFERROR(__xludf.DUMMYFUNCTION("""COMPUTED_VALUE"""),"Curriculum")</f>
        <v>Curriculum</v>
      </c>
      <c r="F19" s="2" t="str">
        <f>IFERROR(__xludf.DUMMYFUNCTION("""COMPUTED_VALUE"""),"recommendation")</f>
        <v>recommendation</v>
      </c>
      <c r="G19" s="3" t="str">
        <f>IFERROR(__xludf.DUMMYFUNCTION("""COMPUTED_VALUE"""),"a estratégia que a gente usou, foi dividir pela metade mesmo, dividir pela metade a carga horária [...] e ocupar metade dessa carga horária com conteúdos que tenham aptidão mais pra a área de redes [...] E metade dessa com a com conteúdos que tem mais apt"&amp;"idão pra área de programação.")</f>
        <v>a estratégia que a gente usou, foi dividir pela metade mesmo, dividir pela metade a carga horária [...] e ocupar metade dessa carga horária com conteúdos que tenham aptidão mais pra a área de redes [...] E metade dessa com a com conteúdos que tem mais aptidão pra área de programação.</v>
      </c>
      <c r="H19" s="3" t="str">
        <f>IFERROR(__xludf.DUMMYFUNCTION("""COMPUTED_VALUE"""),"Divide the workload of subjects that are related to networking and programming.")</f>
        <v>Divide the workload of subjects that are related to networking and programming.</v>
      </c>
      <c r="I19" s="2" t="s">
        <v>3384</v>
      </c>
    </row>
    <row r="20">
      <c r="A20" s="48" t="s">
        <v>2824</v>
      </c>
      <c r="B20" s="2">
        <f>IFERROR(__xludf.DUMMYFUNCTION("""COMPUTED_VALUE"""),1.0)</f>
        <v>1</v>
      </c>
      <c r="C20" s="2">
        <f>IFERROR(__xludf.DUMMYFUNCTION("""COMPUTED_VALUE"""),16.0)</f>
        <v>16</v>
      </c>
      <c r="D20" s="2" t="str">
        <f>IFERROR(__xludf.DUMMYFUNCTION("""COMPUTED_VALUE"""),"R1 / R2")</f>
        <v>R1 / R2</v>
      </c>
      <c r="E20" s="2" t="str">
        <f>IFERROR(__xludf.DUMMYFUNCTION("""COMPUTED_VALUE"""),"Environment Setup")</f>
        <v>Environment Setup</v>
      </c>
      <c r="F20" s="2" t="str">
        <f>IFERROR(__xludf.DUMMYFUNCTION("""COMPUTED_VALUE"""),"recommendation")</f>
        <v>recommendation</v>
      </c>
      <c r="G20" s="3" t="str">
        <f>IFERROR(__xludf.DUMMYFUNCTION("""COMPUTED_VALUE"""),"[...]eu tive que delegar essa responsabilidade para o aluno.")</f>
        <v>[...]eu tive que delegar essa responsabilidade para o aluno.</v>
      </c>
      <c r="H20" s="3" t="str">
        <f>IFERROR(__xludf.DUMMYFUNCTION("""COMPUTED_VALUE"""),"Delegate responsibility to the student.")</f>
        <v>Delegate responsibility to the student.</v>
      </c>
      <c r="I20" s="2" t="s">
        <v>3385</v>
      </c>
    </row>
    <row r="21">
      <c r="A21" s="48" t="s">
        <v>2826</v>
      </c>
      <c r="B21" s="2">
        <f>IFERROR(__xludf.DUMMYFUNCTION("""COMPUTED_VALUE"""),2.0)</f>
        <v>2</v>
      </c>
      <c r="C21" s="2">
        <f>IFERROR(__xludf.DUMMYFUNCTION("""COMPUTED_VALUE"""),1.0)</f>
        <v>1</v>
      </c>
      <c r="D21" s="2" t="str">
        <f>IFERROR(__xludf.DUMMYFUNCTION("""COMPUTED_VALUE"""),"R1 / R2")</f>
        <v>R1 / R2</v>
      </c>
      <c r="E21" s="2" t="str">
        <f>IFERROR(__xludf.DUMMYFUNCTION("""COMPUTED_VALUE"""),"DevOps Concepts")</f>
        <v>DevOps Concepts</v>
      </c>
      <c r="F21" s="2" t="str">
        <f>IFERROR(__xludf.DUMMYFUNCTION("""COMPUTED_VALUE"""),"recommendation")</f>
        <v>recommendation</v>
      </c>
      <c r="G21" s="3" t="str">
        <f>IFERROR(__xludf.DUMMYFUNCTION("""COMPUTED_VALUE"""),"[...] eu gosto muito de basear num livro texto, porque acho que fica bem claro para os alunos uma sequência, né? A gente pode até escolher alguns capítulos, até fazendo uma parte importante assim de um material desses [...]  a gente pesquisa várias coisas"&amp;"  pra montar a nossa aula, mas ter ali uma espinha dorsal formada por uma literatura, eu acho sempre importante. ")</f>
        <v>[...] eu gosto muito de basear num livro texto, porque acho que fica bem claro para os alunos uma sequência, né? A gente pode até escolher alguns capítulos, até fazendo uma parte importante assim de um material desses [...]  a gente pesquisa várias coisas  pra montar a nossa aula, mas ter ali uma espinha dorsal formada por uma literatura, eu acho sempre importante. </v>
      </c>
      <c r="H21" s="3" t="str">
        <f>IFERROR(__xludf.DUMMYFUNCTION("""COMPUTED_VALUE"""),"Using a textbook as a basis and to give students a better idea of the sequence of the course contents.")</f>
        <v>Using a textbook as a basis and to give students a better idea of the sequence of the course contents.</v>
      </c>
      <c r="I21" s="2" t="s">
        <v>3386</v>
      </c>
    </row>
    <row r="22">
      <c r="A22" s="48" t="s">
        <v>2862</v>
      </c>
      <c r="B22" s="2">
        <f>IFERROR(__xludf.DUMMYFUNCTION("""COMPUTED_VALUE"""),2.0)</f>
        <v>2</v>
      </c>
      <c r="C22" s="2">
        <f>IFERROR(__xludf.DUMMYFUNCTION("""COMPUTED_VALUE"""),1.0)</f>
        <v>1</v>
      </c>
      <c r="D22" s="2" t="str">
        <f>IFERROR(__xludf.DUMMYFUNCTION("""COMPUTED_VALUE"""),"R1 / R2")</f>
        <v>R1 / R2</v>
      </c>
      <c r="E22" s="2" t="str">
        <f>IFERROR(__xludf.DUMMYFUNCTION("""COMPUTED_VALUE"""),"DevOps Concepts")</f>
        <v>DevOps Concepts</v>
      </c>
      <c r="F22" s="2" t="str">
        <f>IFERROR(__xludf.DUMMYFUNCTION("""COMPUTED_VALUE"""),"recommendation")</f>
        <v>recommendation</v>
      </c>
      <c r="G22" s="3" t="str">
        <f>IFERROR(__xludf.DUMMYFUNCTION("""COMPUTED_VALUE"""),"Mas como não tem, a gente encontra diversos materiais, a gente tem várias publicações")</f>
        <v>Mas como não tem, a gente encontra diversos materiais, a gente tem várias publicações</v>
      </c>
      <c r="H22" s="3" t="str">
        <f>IFERROR(__xludf.DUMMYFUNCTION("""COMPUTED_VALUE"""),"Combine the various materials and publications available to make up for the lack of a unified, complete, and high-level material.")</f>
        <v>Combine the various materials and publications available to make up for the lack of a unified, complete, and high-level material.</v>
      </c>
      <c r="I22" s="2" t="s">
        <v>3387</v>
      </c>
    </row>
    <row r="23">
      <c r="A23" s="48" t="s">
        <v>2828</v>
      </c>
      <c r="B23" s="2">
        <f>IFERROR(__xludf.DUMMYFUNCTION("""COMPUTED_VALUE"""),2.0)</f>
        <v>2</v>
      </c>
      <c r="C23" s="2">
        <f>IFERROR(__xludf.DUMMYFUNCTION("""COMPUTED_VALUE"""),3.0)</f>
        <v>3</v>
      </c>
      <c r="D23" s="2" t="str">
        <f>IFERROR(__xludf.DUMMYFUNCTION("""COMPUTED_VALUE"""),"R1 / R3")</f>
        <v>R1 / R3</v>
      </c>
      <c r="E23" s="2" t="str">
        <f>IFERROR(__xludf.DUMMYFUNCTION("""COMPUTED_VALUE"""),"Pedagogy")</f>
        <v>Pedagogy</v>
      </c>
      <c r="F23" s="2" t="str">
        <f>IFERROR(__xludf.DUMMYFUNCTION("""COMPUTED_VALUE"""),"recommendation")</f>
        <v>recommendation</v>
      </c>
      <c r="G23" s="3" t="str">
        <f>IFERROR(__xludf.DUMMYFUNCTION("""COMPUTED_VALUE"""),"Acredito que pra o DevOps, você ter esse equilíbrio [...] se você for pra um curso, que o foco é mais desenvolvimento [...] Levar os alunos aí pra ver o outro lado [...] Ver o Ops e o a galera lá do Ops quando puder ter oportunidade de ver a parte mais do"&amp;" Dev também")</f>
        <v>Acredito que pra o DevOps, você ter esse equilíbrio [...] se você for pra um curso, que o foco é mais desenvolvimento [...] Levar os alunos aí pra ver o outro lado [...] Ver o Ops e o a galera lá do Ops quando puder ter oportunidade de ver a parte mais do Dev também</v>
      </c>
      <c r="H23" s="3" t="str">
        <f>IFERROR(__xludf.DUMMYFUNCTION("""COMPUTED_VALUE"""),"Seeking balance in teaching development and operation.")</f>
        <v>Seeking balance in teaching development and operation.</v>
      </c>
      <c r="I23" s="2" t="s">
        <v>3388</v>
      </c>
    </row>
    <row r="24">
      <c r="A24" s="48" t="s">
        <v>2830</v>
      </c>
      <c r="B24" s="2">
        <f>IFERROR(__xludf.DUMMYFUNCTION("""COMPUTED_VALUE"""),2.0)</f>
        <v>2</v>
      </c>
      <c r="C24" s="22">
        <f>IFERROR(__xludf.DUMMYFUNCTION("""COMPUTED_VALUE"""),3.0)</f>
        <v>3</v>
      </c>
      <c r="D24" s="22" t="str">
        <f>IFERROR(__xludf.DUMMYFUNCTION("""COMPUTED_VALUE"""),"R1 / R3")</f>
        <v>R1 / R3</v>
      </c>
      <c r="E24" s="67" t="str">
        <f>IFERROR(__xludf.DUMMYFUNCTION("""COMPUTED_VALUE"""),"Pedagogy")</f>
        <v>Pedagogy</v>
      </c>
      <c r="F24" s="28" t="str">
        <f>IFERROR(__xludf.DUMMYFUNCTION("""COMPUTED_VALUE"""),"recommendation")</f>
        <v>recommendation</v>
      </c>
      <c r="G24" s="3" t="str">
        <f>IFERROR(__xludf.DUMMYFUNCTION("""COMPUTED_VALUE"""),"tem uma [...] série de funcionalidades pra serem desenvolvidas e [...] o aluno ele vem sendo treinado pra isso. Mas outros aspectos relacionados mais a colocar o sistema em produção, a ter cuidado [...] depois que o sistema tá lá operacional, não focar ma"&amp;"is assim nos aspectos relacionados às funcionalidades do sistema, mas direcionar pra aspectos não funcionais, aí os alunos eles realmente precisam ter uma noção maior disso")</f>
        <v>tem uma [...] série de funcionalidades pra serem desenvolvidas e [...] o aluno ele vem sendo treinado pra isso. Mas outros aspectos relacionados mais a colocar o sistema em produção, a ter cuidado [...] depois que o sistema tá lá operacional, não focar mais assim nos aspectos relacionados às funcionalidades do sistema, mas direcionar pra aspectos não funcionais, aí os alunos eles realmente precisam ter uma noção maior disso</v>
      </c>
      <c r="H24" s="3" t="str">
        <f>IFERROR(__xludf.DUMMYFUNCTION("""COMPUTED_VALUE"""),"Work on improving students' skills related to non-functional requirements.")</f>
        <v>Work on improving students' skills related to non-functional requirements.</v>
      </c>
      <c r="I24" s="2" t="s">
        <v>3389</v>
      </c>
    </row>
    <row r="25">
      <c r="A25" s="48" t="s">
        <v>2832</v>
      </c>
      <c r="B25" s="2">
        <f>IFERROR(__xludf.DUMMYFUNCTION("""COMPUTED_VALUE"""),2.0)</f>
        <v>2</v>
      </c>
      <c r="C25" s="22">
        <f>IFERROR(__xludf.DUMMYFUNCTION("""COMPUTED_VALUE"""),4.0)</f>
        <v>4</v>
      </c>
      <c r="D25" s="22" t="str">
        <f>IFERROR(__xludf.DUMMYFUNCTION("""COMPUTED_VALUE"""),"R1 / R2")</f>
        <v>R1 / R2</v>
      </c>
      <c r="E25" s="67" t="str">
        <f>IFERROR(__xludf.DUMMYFUNCTION("""COMPUTED_VALUE"""),"Pedagogy")</f>
        <v>Pedagogy</v>
      </c>
      <c r="F25" s="28" t="str">
        <f>IFERROR(__xludf.DUMMYFUNCTION("""COMPUTED_VALUE"""),"recommendation")</f>
        <v>recommendation</v>
      </c>
      <c r="G25" s="3" t="str">
        <f>IFERROR(__xludf.DUMMYFUNCTION("""COMPUTED_VALUE"""),"a ferramenta do micro serviços, é uma das ferramentas que eu tenho utilizado com eles. Uma ferramenta, um ambiente em que nós colocamos ali as soluções dos alunos e eles conseguem ter ali uma visão mais da parte de Integração Contínua;")</f>
        <v>a ferramenta do micro serviços, é uma das ferramentas que eu tenho utilizado com eles. Uma ferramenta, um ambiente em que nós colocamos ali as soluções dos alunos e eles conseguem ter ali uma visão mais da parte de Integração Contínua;</v>
      </c>
      <c r="H25" s="3" t="str">
        <f>IFERROR(__xludf.DUMMYFUNCTION("""COMPUTED_VALUE"""),"Use of a learning tool to facilitate understanding of the concept of Continuous Integration.")</f>
        <v>Use of a learning tool to facilitate understanding of the concept of Continuous Integration.</v>
      </c>
      <c r="I25" s="2" t="s">
        <v>3390</v>
      </c>
    </row>
    <row r="26">
      <c r="A26" s="48" t="s">
        <v>2834</v>
      </c>
      <c r="B26" s="2">
        <f>IFERROR(__xludf.DUMMYFUNCTION("""COMPUTED_VALUE"""),2.0)</f>
        <v>2</v>
      </c>
      <c r="C26" s="2">
        <f>IFERROR(__xludf.DUMMYFUNCTION("""COMPUTED_VALUE"""),4.0)</f>
        <v>4</v>
      </c>
      <c r="D26" s="2" t="str">
        <f>IFERROR(__xludf.DUMMYFUNCTION("""COMPUTED_VALUE"""),"R1 / R2")</f>
        <v>R1 / R2</v>
      </c>
      <c r="E26" s="2" t="str">
        <f>IFERROR(__xludf.DUMMYFUNCTION("""COMPUTED_VALUE"""),"Pedagogy")</f>
        <v>Pedagogy</v>
      </c>
      <c r="F26" s="2" t="str">
        <f>IFERROR(__xludf.DUMMYFUNCTION("""COMPUTED_VALUE"""),"recommendation")</f>
        <v>recommendation</v>
      </c>
      <c r="G26" s="3" t="str">
        <f>IFERROR(__xludf.DUMMYFUNCTION("""COMPUTED_VALUE"""),"[...]esses sistemas sendo disponibilizados e aí com a criação da ferramenta do DevOps da nuvem do IFRN, o sistema lá de microsserviços, foi possível então a gente ter essa visão mais prática do processo como um todo. Então, eu tenho adotado, em todos os s"&amp;"emestres, inclusive, tenho sempre solicitado que os alunos trabalhem com essa ferramenta[...]")</f>
        <v>[...]esses sistemas sendo disponibilizados e aí com a criação da ferramenta do DevOps da nuvem do IFRN, o sistema lá de microsserviços, foi possível então a gente ter essa visão mais prática do processo como um todo. Então, eu tenho adotado, em todos os semestres, inclusive, tenho sempre solicitado que os alunos trabalhem com essa ferramenta[...]</v>
      </c>
      <c r="H26" s="3" t="str">
        <f>IFERROR(__xludf.DUMMYFUNCTION("""COMPUTED_VALUE"""),"Using a learning tool helps in DevOps teaching.")</f>
        <v>Using a learning tool helps in DevOps teaching.</v>
      </c>
      <c r="I26" s="2" t="s">
        <v>3391</v>
      </c>
    </row>
    <row r="27">
      <c r="A27" s="48" t="s">
        <v>2836</v>
      </c>
      <c r="B27" s="2">
        <f>IFERROR(__xludf.DUMMYFUNCTION("""COMPUTED_VALUE"""),2.0)</f>
        <v>2</v>
      </c>
      <c r="C27" s="2">
        <f>IFERROR(__xludf.DUMMYFUNCTION("""COMPUTED_VALUE"""),5.0)</f>
        <v>5</v>
      </c>
      <c r="D27" s="2" t="str">
        <f>IFERROR(__xludf.DUMMYFUNCTION("""COMPUTED_VALUE"""),"R2 / R3")</f>
        <v>R2 / R3</v>
      </c>
      <c r="E27" s="2" t="str">
        <f>IFERROR(__xludf.DUMMYFUNCTION("""COMPUTED_VALUE"""),"Curriculum")</f>
        <v>Curriculum</v>
      </c>
      <c r="F27" s="2" t="str">
        <f>IFERROR(__xludf.DUMMYFUNCTION("""COMPUTED_VALUE"""),"recommendation")</f>
        <v>recommendation</v>
      </c>
      <c r="G27" s="3" t="str">
        <f>IFERROR(__xludf.DUMMYFUNCTION("""COMPUTED_VALUE"""),"a importância de se ter, realmente, no currículo uma uma disciplina dessa falando sobre esses temas")</f>
        <v>a importância de se ter, realmente, no currículo uma uma disciplina dessa falando sobre esses temas</v>
      </c>
      <c r="H27" s="3" t="str">
        <f>IFERROR(__xludf.DUMMYFUNCTION("""COMPUTED_VALUE"""),"DevOps deserves a discipline in the curriculum.")</f>
        <v>DevOps deserves a discipline in the curriculum.</v>
      </c>
      <c r="I27" s="2" t="s">
        <v>3392</v>
      </c>
    </row>
    <row r="28">
      <c r="A28" s="48" t="s">
        <v>2838</v>
      </c>
      <c r="B28" s="2">
        <f>IFERROR(__xludf.DUMMYFUNCTION("""COMPUTED_VALUE"""),2.0)</f>
        <v>2</v>
      </c>
      <c r="C28" s="22">
        <f>IFERROR(__xludf.DUMMYFUNCTION("""COMPUTED_VALUE"""),5.0)</f>
        <v>5</v>
      </c>
      <c r="D28" s="22" t="str">
        <f>IFERROR(__xludf.DUMMYFUNCTION("""COMPUTED_VALUE"""),"R2 / R3")</f>
        <v>R2 / R3</v>
      </c>
      <c r="E28" s="67" t="str">
        <f>IFERROR(__xludf.DUMMYFUNCTION("""COMPUTED_VALUE"""),"Curriculum")</f>
        <v>Curriculum</v>
      </c>
      <c r="F28" s="22" t="str">
        <f>IFERROR(__xludf.DUMMYFUNCTION("""COMPUTED_VALUE"""),"recommendation")</f>
        <v>recommendation</v>
      </c>
      <c r="G28" s="3" t="str">
        <f>IFERROR(__xludf.DUMMYFUNCTION("""COMPUTED_VALUE"""),"[...]a gente tá passando por um processo de reformulação de matriz,[...]essa parte de carga horária e essa disciplina, realmente, a utilidade e uma das defesas que foi feita, foi justamente que a disciplina existisse no curso, justamente porque em um outr"&amp;"o momento, esses temas não seriam considerados. Então daí a importância de se ter no currículo uma uma disciplina dessas falando sobre esses temas.")</f>
        <v>[...]a gente tá passando por um processo de reformulação de matriz,[...]essa parte de carga horária e essa disciplina, realmente, a utilidade e uma das defesas que foi feita, foi justamente que a disciplina existisse no curso, justamente porque em um outro momento, esses temas não seriam considerados. Então daí a importância de se ter no currículo uma uma disciplina dessas falando sobre esses temas.</v>
      </c>
      <c r="H28" s="3" t="str">
        <f>IFERROR(__xludf.DUMMYFUNCTION("""COMPUTED_VALUE"""),"Be concerned with the course's curriculum, maintaining and creating DevOps disciplines.")</f>
        <v>Be concerned with the course's curriculum, maintaining and creating DevOps disciplines.</v>
      </c>
      <c r="I28" s="2" t="s">
        <v>3393</v>
      </c>
    </row>
    <row r="29">
      <c r="A29" s="48" t="s">
        <v>2840</v>
      </c>
      <c r="B29" s="2">
        <f>IFERROR(__xludf.DUMMYFUNCTION("""COMPUTED_VALUE"""),2.0)</f>
        <v>2</v>
      </c>
      <c r="C29" s="22">
        <f>IFERROR(__xludf.DUMMYFUNCTION("""COMPUTED_VALUE"""),6.0)</f>
        <v>6</v>
      </c>
      <c r="D29" s="22" t="str">
        <f>IFERROR(__xludf.DUMMYFUNCTION("""COMPUTED_VALUE"""),"R1 / R3")</f>
        <v>R1 / R3</v>
      </c>
      <c r="E29" s="67" t="str">
        <f>IFERROR(__xludf.DUMMYFUNCTION("""COMPUTED_VALUE"""),"Assessment")</f>
        <v>Assessment</v>
      </c>
      <c r="F29" s="22" t="str">
        <f>IFERROR(__xludf.DUMMYFUNCTION("""COMPUTED_VALUE"""),"recommendation")</f>
        <v>recommendation</v>
      </c>
      <c r="G29" s="3" t="str">
        <f>IFERROR(__xludf.DUMMYFUNCTION("""COMPUTED_VALUE"""),"A gente consegue avaliar nos alunos o trabalho em equipe, tipo, aqueles que estão colaborando, aqueles que estão mais sobrecarregados, aqueles que estão, talvez, menos sobrecarregados, aqueles que desenvolvem e entregam mais funcionalidades, aqueles que n"&amp;"ão colaboram com o trabalho em equipe")</f>
        <v>A gente consegue avaliar nos alunos o trabalho em equipe, tipo, aqueles que estão colaborando, aqueles que estão mais sobrecarregados, aqueles que estão, talvez, menos sobrecarregados, aqueles que desenvolvem e entregam mais funcionalidades, aqueles que não colaboram com o trabalho em equipe</v>
      </c>
      <c r="H29" s="3" t="str">
        <f>IFERROR(__xludf.DUMMYFUNCTION("""COMPUTED_VALUE"""),"Evaluate level of participation and difficulty of students in teamwork.")</f>
        <v>Evaluate level of participation and difficulty of students in teamwork.</v>
      </c>
      <c r="I29" s="2" t="s">
        <v>3394</v>
      </c>
    </row>
    <row r="30">
      <c r="A30" s="48" t="s">
        <v>2842</v>
      </c>
      <c r="B30" s="2">
        <f>IFERROR(__xludf.DUMMYFUNCTION("""COMPUTED_VALUE"""),2.0)</f>
        <v>2</v>
      </c>
      <c r="C30" s="2">
        <f>IFERROR(__xludf.DUMMYFUNCTION("""COMPUTED_VALUE"""),6.0)</f>
        <v>6</v>
      </c>
      <c r="D30" s="2" t="str">
        <f>IFERROR(__xludf.DUMMYFUNCTION("""COMPUTED_VALUE"""),"R1 / R3")</f>
        <v>R1 / R3</v>
      </c>
      <c r="E30" s="2" t="str">
        <f>IFERROR(__xludf.DUMMYFUNCTION("""COMPUTED_VALUE"""),"Assessment")</f>
        <v>Assessment</v>
      </c>
      <c r="F30" s="2" t="str">
        <f>IFERROR(__xludf.DUMMYFUNCTION("""COMPUTED_VALUE"""),"recommendation")</f>
        <v>recommendation</v>
      </c>
      <c r="G30" s="3" t="str">
        <f>IFERROR(__xludf.DUMMYFUNCTION("""COMPUTED_VALUE"""),"Essa parte de avaliação a gente consegue monitorar, muito por conta da atividade que eles fazem lá, né? Então uma parte, é a ferramenta do sistema da nuvem que nos possibilita, realmente, fazer esse acompanhamento")</f>
        <v>Essa parte de avaliação a gente consegue monitorar, muito por conta da atividade que eles fazem lá, né? Então uma parte, é a ferramenta do sistema da nuvem que nos possibilita, realmente, fazer esse acompanhamento</v>
      </c>
      <c r="H30" s="3" t="str">
        <f>IFERROR(__xludf.DUMMYFUNCTION("""COMPUTED_VALUE"""),"Monitoring of students through activities in a learning support environment.")</f>
        <v>Monitoring of students through activities in a learning support environment.</v>
      </c>
      <c r="I30" s="2" t="s">
        <v>3395</v>
      </c>
    </row>
    <row r="31">
      <c r="A31" s="48" t="s">
        <v>2844</v>
      </c>
      <c r="B31" s="2">
        <f>IFERROR(__xludf.DUMMYFUNCTION("""COMPUTED_VALUE"""),2.0)</f>
        <v>2</v>
      </c>
      <c r="C31" s="2">
        <f>IFERROR(__xludf.DUMMYFUNCTION("""COMPUTED_VALUE"""),6.0)</f>
        <v>6</v>
      </c>
      <c r="D31" s="2" t="str">
        <f>IFERROR(__xludf.DUMMYFUNCTION("""COMPUTED_VALUE"""),"R1 / R3")</f>
        <v>R1 / R3</v>
      </c>
      <c r="E31" s="2" t="str">
        <f>IFERROR(__xludf.DUMMYFUNCTION("""COMPUTED_VALUE"""),"Assessment")</f>
        <v>Assessment</v>
      </c>
      <c r="F31" s="2" t="str">
        <f>IFERROR(__xludf.DUMMYFUNCTION("""COMPUTED_VALUE"""),"recommendation")</f>
        <v>recommendation</v>
      </c>
      <c r="G31" s="3" t="str">
        <f>IFERROR(__xludf.DUMMYFUNCTION("""COMPUTED_VALUE""")," fazer uma prova, simplesmente avaliando ele, é uma maneira, inclusive, de fazer isso, mas nessa abordagem mais prática, acredito que se prepara mais o aluno e a gente consegue avaliar, de fato, os aspectos mais importantes da formação dele [...] Se ele e"&amp;"stá realmente adquirindo aquele conhecimento, aquilo que a gente tava querendo realmente transmitir naquele determinado tópico, naquele determinado assunto")</f>
        <v> fazer uma prova, simplesmente avaliando ele, é uma maneira, inclusive, de fazer isso, mas nessa abordagem mais prática, acredito que se prepara mais o aluno e a gente consegue avaliar, de fato, os aspectos mais importantes da formação dele [...] Se ele está realmente adquirindo aquele conhecimento, aquilo que a gente tava querendo realmente transmitir naquele determinado tópico, naquele determinado assunto</v>
      </c>
      <c r="H31" s="3" t="str">
        <f>IFERROR(__xludf.DUMMYFUNCTION("""COMPUTED_VALUE"""),"Prefer practical assessments to written tests in order to verify student learning on the subject.")</f>
        <v>Prefer practical assessments to written tests in order to verify student learning on the subject.</v>
      </c>
      <c r="I31" s="2" t="s">
        <v>3396</v>
      </c>
    </row>
    <row r="32">
      <c r="A32" s="48" t="s">
        <v>2864</v>
      </c>
      <c r="B32" s="2">
        <f>IFERROR(__xludf.DUMMYFUNCTION("""COMPUTED_VALUE"""),2.0)</f>
        <v>2</v>
      </c>
      <c r="C32" s="2">
        <f>IFERROR(__xludf.DUMMYFUNCTION("""COMPUTED_VALUE"""),7.0)</f>
        <v>7</v>
      </c>
      <c r="D32" s="2" t="str">
        <f>IFERROR(__xludf.DUMMYFUNCTION("""COMPUTED_VALUE"""),"R1 / R2")</f>
        <v>R1 / R2</v>
      </c>
      <c r="E32" s="2" t="str">
        <f>IFERROR(__xludf.DUMMYFUNCTION("""COMPUTED_VALUE"""),"Tool / Technology")</f>
        <v>Tool / Technology</v>
      </c>
      <c r="F32" s="2" t="str">
        <f>IFERROR(__xludf.DUMMYFUNCTION("""COMPUTED_VALUE"""),"recommendation")</f>
        <v>recommendation</v>
      </c>
      <c r="G32" s="3" t="str">
        <f>IFERROR(__xludf.DUMMYFUNCTION("""COMPUTED_VALUE"""),"[...]com o acréscimo do nosso time do PDS do professor Sales, ele  tem um acesso, assim, mais dentro da ferramenta, ele já conhece os mais diversos aspectos, já foi possível a gente sanar diversas dificuldades[...]")</f>
        <v>[...]com o acréscimo do nosso time do PDS do professor Sales, ele  tem um acesso, assim, mais dentro da ferramenta, ele já conhece os mais diversos aspectos, já foi possível a gente sanar diversas dificuldades[...]</v>
      </c>
      <c r="H32" s="3" t="str">
        <f>IFERROR(__xludf.DUMMYFUNCTION("""COMPUTED_VALUE"""),"When using a tool to help teach, you must have a good command of it and the necessary permissions/accompaniment of someone with such permissions to deal well with the possible difficulties during its use in the discipline.")</f>
        <v>When using a tool to help teach, you must have a good command of it and the necessary permissions/accompaniment of someone with such permissions to deal well with the possible difficulties during its use in the discipline.</v>
      </c>
      <c r="I32" s="2" t="s">
        <v>3397</v>
      </c>
    </row>
    <row r="33">
      <c r="A33" s="48" t="s">
        <v>2846</v>
      </c>
      <c r="B33" s="2">
        <f>IFERROR(__xludf.DUMMYFUNCTION("""COMPUTED_VALUE"""),2.0)</f>
        <v>2</v>
      </c>
      <c r="C33" s="2">
        <f>IFERROR(__xludf.DUMMYFUNCTION("""COMPUTED_VALUE"""),7.0)</f>
        <v>7</v>
      </c>
      <c r="D33" s="2" t="str">
        <f>IFERROR(__xludf.DUMMYFUNCTION("""COMPUTED_VALUE"""),"R1 / R2")</f>
        <v>R1 / R2</v>
      </c>
      <c r="E33" s="2" t="str">
        <f>IFERROR(__xludf.DUMMYFUNCTION("""COMPUTED_VALUE"""),"Tool / Technology")</f>
        <v>Tool / Technology</v>
      </c>
      <c r="F33" s="2" t="str">
        <f>IFERROR(__xludf.DUMMYFUNCTION("""COMPUTED_VALUE"""),"recommendation")</f>
        <v>recommendation</v>
      </c>
      <c r="G33" s="3" t="str">
        <f>IFERROR(__xludf.DUMMYFUNCTION("""COMPUTED_VALUE"""),"Normalmente eles já chegam com o sistema às vezes implantado em um outro ambiente, Que é bem comum eles utilizarem esse ambiente, e aí a gente tem que trazer eles pedindo realmente que eles utilizem a nossa")</f>
        <v>Normalmente eles já chegam com o sistema às vezes implantado em um outro ambiente, Que é bem comum eles utilizarem esse ambiente, e aí a gente tem que trazer eles pedindo realmente que eles utilizem a nossa</v>
      </c>
      <c r="H33" s="3" t="str">
        <f>IFERROR(__xludf.DUMMYFUNCTION("""COMPUTED_VALUE"""),"Ask students to adopt the tools used by instructors.")</f>
        <v>Ask students to adopt the tools used by instructors.</v>
      </c>
      <c r="I33" s="2" t="s">
        <v>3398</v>
      </c>
    </row>
    <row r="34">
      <c r="A34" s="48" t="s">
        <v>2848</v>
      </c>
      <c r="B34" s="2">
        <f>IFERROR(__xludf.DUMMYFUNCTION("""COMPUTED_VALUE"""),2.0)</f>
        <v>2</v>
      </c>
      <c r="C34" s="2">
        <f>IFERROR(__xludf.DUMMYFUNCTION("""COMPUTED_VALUE"""),11.0)</f>
        <v>11</v>
      </c>
      <c r="D34" s="2" t="str">
        <f>IFERROR(__xludf.DUMMYFUNCTION("""COMPUTED_VALUE"""),"R2 / R3")</f>
        <v>R2 / R3</v>
      </c>
      <c r="E34" s="2" t="str">
        <f>IFERROR(__xludf.DUMMYFUNCTION("""COMPUTED_VALUE"""),"Curriculum")</f>
        <v>Curriculum</v>
      </c>
      <c r="F34" s="2" t="str">
        <f>IFERROR(__xludf.DUMMYFUNCTION("""COMPUTED_VALUE"""),"recommendation")</f>
        <v>recommendation</v>
      </c>
      <c r="G34" s="3" t="str">
        <f>IFERROR(__xludf.DUMMYFUNCTION("""COMPUTED_VALUE"""),"Em um curso como o nosso, de desenvolvimento, ter uma disciplina dessas, acho  que é importante sim")</f>
        <v>Em um curso como o nosso, de desenvolvimento, ter uma disciplina dessas, acho  que é importante sim</v>
      </c>
      <c r="H34" s="3" t="str">
        <f>IFERROR(__xludf.DUMMYFUNCTION("""COMPUTED_VALUE"""),"DevOps deserves a discipline in the curriculum of courses focused on software development.")</f>
        <v>DevOps deserves a discipline in the curriculum of courses focused on software development.</v>
      </c>
      <c r="I34" s="2" t="s">
        <v>3399</v>
      </c>
    </row>
    <row r="35">
      <c r="A35" s="48" t="s">
        <v>2850</v>
      </c>
      <c r="B35" s="2">
        <f>IFERROR(__xludf.DUMMYFUNCTION("""COMPUTED_VALUE"""),2.0)</f>
        <v>2</v>
      </c>
      <c r="C35" s="2">
        <f>IFERROR(__xludf.DUMMYFUNCTION("""COMPUTED_VALUE"""),11.0)</f>
        <v>11</v>
      </c>
      <c r="D35" s="2" t="str">
        <f>IFERROR(__xludf.DUMMYFUNCTION("""COMPUTED_VALUE"""),"R2 / R3")</f>
        <v>R2 / R3</v>
      </c>
      <c r="E35" s="2" t="str">
        <f>IFERROR(__xludf.DUMMYFUNCTION("""COMPUTED_VALUE"""),"Curriculum")</f>
        <v>Curriculum</v>
      </c>
      <c r="F35" s="2" t="str">
        <f>IFERROR(__xludf.DUMMYFUNCTION("""COMPUTED_VALUE"""),"recommendation")</f>
        <v>recommendation</v>
      </c>
      <c r="G35" s="3" t="str">
        <f>IFERROR(__xludf.DUMMYFUNCTION("""COMPUTED_VALUE"""),"Se o curso é de desenvolvimento ou que envolve a parte de operação, é importante ter uma disciplina que centralize essas informações, uma disciplina, talvez lá pra frente, que reúna esses conceitos, já preparando mais o aluno pro mercado.[...]uma carga ho"&amp;"rária um pouco considerável, para ter essa dinâmica com os alunos.")</f>
        <v>Se o curso é de desenvolvimento ou que envolve a parte de operação, é importante ter uma disciplina que centralize essas informações, uma disciplina, talvez lá pra frente, que reúna esses conceitos, já preparando mais o aluno pro mercado.[...]uma carga horária um pouco considerável, para ter essa dinâmica com os alunos.</v>
      </c>
      <c r="H35" s="3" t="str">
        <f>IFERROR(__xludf.DUMMYFUNCTION("""COMPUTED_VALUE"""),"A discipline must have a considerable workload to centralize and harmonize development and operation information.")</f>
        <v>A discipline must have a considerable workload to centralize and harmonize development and operation information.</v>
      </c>
      <c r="I35" s="2" t="s">
        <v>3400</v>
      </c>
    </row>
    <row r="36">
      <c r="A36" s="48" t="s">
        <v>2852</v>
      </c>
      <c r="B36" s="2">
        <f>IFERROR(__xludf.DUMMYFUNCTION("""COMPUTED_VALUE"""),2.0)</f>
        <v>2</v>
      </c>
      <c r="C36" s="2">
        <f>IFERROR(__xludf.DUMMYFUNCTION("""COMPUTED_VALUE"""),12.0)</f>
        <v>12</v>
      </c>
      <c r="D36" s="2" t="str">
        <f>IFERROR(__xludf.DUMMYFUNCTION("""COMPUTED_VALUE"""),"R1 / R3")</f>
        <v>R1 / R3</v>
      </c>
      <c r="E36" s="2" t="str">
        <f>IFERROR(__xludf.DUMMYFUNCTION("""COMPUTED_VALUE"""),"Assessment")</f>
        <v>Assessment</v>
      </c>
      <c r="F36" s="2" t="str">
        <f>IFERROR(__xludf.DUMMYFUNCTION("""COMPUTED_VALUE"""),"recommendation")</f>
        <v>recommendation</v>
      </c>
      <c r="G36" s="3" t="str">
        <f>IFERROR(__xludf.DUMMYFUNCTION("""COMPUTED_VALUE"""),"Eles utilizam o sistema e eu peço sempre pra que eles socializem. A gente tá fazendo nesse momento agora de ensino mais remoto, que eles socializem o que que eles fizeram, né? ... E quando a gente tá nesse momento de socialização, os alunos conseguem apro"&amp;"veitar bem, o ganho e conhecimento que uma outra equipe teve num aspecto que, às vezes, eles não não tinham percebido")</f>
        <v>Eles utilizam o sistema e eu peço sempre pra que eles socializem. A gente tá fazendo nesse momento agora de ensino mais remoto, que eles socializem o que que eles fizeram, né? ... E quando a gente tá nesse momento de socialização, os alunos conseguem aproveitar bem, o ganho e conhecimento que uma outra equipe teve num aspecto que, às vezes, eles não não tinham percebido</v>
      </c>
      <c r="H36" s="3" t="str">
        <f>IFERROR(__xludf.DUMMYFUNCTION("""COMPUTED_VALUE"""),"Socializing knowledge acquired in practical activities is essential for learning.")</f>
        <v>Socializing knowledge acquired in practical activities is essential for learning.</v>
      </c>
      <c r="I36" s="2" t="s">
        <v>3401</v>
      </c>
    </row>
    <row r="37">
      <c r="A37" s="48" t="s">
        <v>2854</v>
      </c>
      <c r="B37" s="2">
        <f>IFERROR(__xludf.DUMMYFUNCTION("""COMPUTED_VALUE"""),2.0)</f>
        <v>2</v>
      </c>
      <c r="C37" s="2">
        <f>IFERROR(__xludf.DUMMYFUNCTION("""COMPUTED_VALUE"""),13.0)</f>
        <v>13</v>
      </c>
      <c r="D37" s="2" t="str">
        <f>IFERROR(__xludf.DUMMYFUNCTION("""COMPUTED_VALUE"""),"R1 / R2")</f>
        <v>R1 / R2</v>
      </c>
      <c r="E37" s="2" t="str">
        <f>IFERROR(__xludf.DUMMYFUNCTION("""COMPUTED_VALUE"""),"Tool / Technology")</f>
        <v>Tool / Technology</v>
      </c>
      <c r="F37" s="2" t="str">
        <f>IFERROR(__xludf.DUMMYFUNCTION("""COMPUTED_VALUE"""),"recommendation")</f>
        <v>recommendation</v>
      </c>
      <c r="G37" s="3" t="str">
        <f>IFERROR(__xludf.DUMMYFUNCTION("""COMPUTED_VALUE"""),"Eles optam por [...] conseguir colocar esse sistema no ar pra que um cliente veja, né? O cliente nesse aspecto, são os próprios professores que estão avaliando.")</f>
        <v>Eles optam por [...] conseguir colocar esse sistema no ar pra que um cliente veja, né? O cliente nesse aspecto, são os próprios professores que estão avaliando.</v>
      </c>
      <c r="H37" s="3" t="str">
        <f>IFERROR(__xludf.DUMMYFUNCTION("""COMPUTED_VALUE"""),"Adopt a more professional approach in which teachers act as clients.")</f>
        <v>Adopt a more professional approach in which teachers act as clients.</v>
      </c>
      <c r="I37" s="2" t="s">
        <v>3402</v>
      </c>
    </row>
    <row r="38">
      <c r="A38" s="48" t="s">
        <v>2856</v>
      </c>
      <c r="B38" s="2">
        <f>IFERROR(__xludf.DUMMYFUNCTION("""COMPUTED_VALUE"""),2.0)</f>
        <v>2</v>
      </c>
      <c r="C38" s="2">
        <f>IFERROR(__xludf.DUMMYFUNCTION("""COMPUTED_VALUE"""),14.0)</f>
        <v>14</v>
      </c>
      <c r="D38" s="2" t="str">
        <f>IFERROR(__xludf.DUMMYFUNCTION("""COMPUTED_VALUE"""),"R2 / R3")</f>
        <v>R2 / R3</v>
      </c>
      <c r="E38" s="2" t="str">
        <f>IFERROR(__xludf.DUMMYFUNCTION("""COMPUTED_VALUE"""),"Class Preparation")</f>
        <v>Class Preparation</v>
      </c>
      <c r="F38" s="2" t="str">
        <f>IFERROR(__xludf.DUMMYFUNCTION("""COMPUTED_VALUE"""),"recommendation")</f>
        <v>recommendation</v>
      </c>
      <c r="G38" s="3" t="str">
        <f>IFERROR(__xludf.DUMMYFUNCTION("""COMPUTED_VALUE"""),"Tendo esse sistema já no ar, eu acredito também que seja um outro ganho, por quê? Porque na medida que você vai avançando nos temas, você consegue já colocar ali “olhe, esse aspecto aqui que a gente tá trabalhando, vocês vão ter já contemplado no sistema "&amp;"por meio disso, disso e disso”.")</f>
        <v>Tendo esse sistema já no ar, eu acredito também que seja um outro ganho, por quê? Porque na medida que você vai avançando nos temas, você consegue já colocar ali “olhe, esse aspecto aqui que a gente tá trabalhando, vocês vão ter já contemplado no sistema por meio disso, disso e disso”.</v>
      </c>
      <c r="H38" s="3" t="str">
        <f>IFERROR(__xludf.DUMMYFUNCTION("""COMPUTED_VALUE"""),"Using a learning tool helps in DevOps teaching.")</f>
        <v>Using a learning tool helps in DevOps teaching.</v>
      </c>
      <c r="I38" s="2" t="s">
        <v>3403</v>
      </c>
    </row>
    <row r="39">
      <c r="A39" s="48" t="s">
        <v>2858</v>
      </c>
      <c r="B39" s="2">
        <f>IFERROR(__xludf.DUMMYFUNCTION("""COMPUTED_VALUE"""),2.0)</f>
        <v>2</v>
      </c>
      <c r="C39" s="2">
        <f>IFERROR(__xludf.DUMMYFUNCTION("""COMPUTED_VALUE"""),15.0)</f>
        <v>15</v>
      </c>
      <c r="D39" s="2" t="str">
        <f>IFERROR(__xludf.DUMMYFUNCTION("""COMPUTED_VALUE"""),"R1 / R3")</f>
        <v>R1 / R3</v>
      </c>
      <c r="E39" s="2" t="str">
        <f>IFERROR(__xludf.DUMMYFUNCTION("""COMPUTED_VALUE"""),"DevOps Concepts")</f>
        <v>DevOps Concepts</v>
      </c>
      <c r="F39" s="2" t="str">
        <f>IFERROR(__xludf.DUMMYFUNCTION("""COMPUTED_VALUE"""),"recommendation")</f>
        <v>recommendation</v>
      </c>
      <c r="G39" s="3" t="str">
        <f>IFERROR(__xludf.DUMMYFUNCTION("""COMPUTED_VALUE"""),"os aspectos que a gente aborda de integração contínua, [...] utilização das ferramentas que a gente usa no ambiente, no dia-a-dia, essas ferramentas que facilitam o desenvolvimento que agilizam mais a entrega; esse é um dos tocs que a gente tem, né? Na di"&amp;"sciplina, acredito que esses temas devem fazer parte do currículo deles,eles devem ter contato com essa temática aí")</f>
        <v>os aspectos que a gente aborda de integração contínua, [...] utilização das ferramentas que a gente usa no ambiente, no dia-a-dia, essas ferramentas que facilitam o desenvolvimento que agilizam mais a entrega; esse é um dos tocs que a gente tem, né? Na disciplina, acredito que esses temas devem fazer parte do currículo deles,eles devem ter contato com essa temática aí</v>
      </c>
      <c r="H39" s="3" t="str">
        <f>IFERROR(__xludf.DUMMYFUNCTION("""COMPUTED_VALUE"""),"The Continuous Integration and industry tools must be in the curricula.")</f>
        <v>The Continuous Integration and industry tools must be in the curricula.</v>
      </c>
      <c r="I39" s="2" t="s">
        <v>3404</v>
      </c>
    </row>
    <row r="40">
      <c r="A40" s="48" t="s">
        <v>2866</v>
      </c>
      <c r="B40" s="2">
        <f>IFERROR(__xludf.DUMMYFUNCTION("""COMPUTED_VALUE"""),2.0)</f>
        <v>2</v>
      </c>
      <c r="C40" s="2">
        <f>IFERROR(__xludf.DUMMYFUNCTION("""COMPUTED_VALUE"""),16.0)</f>
        <v>16</v>
      </c>
      <c r="D40" s="2" t="str">
        <f>IFERROR(__xludf.DUMMYFUNCTION("""COMPUTED_VALUE"""),"R1 / R2")</f>
        <v>R1 / R2</v>
      </c>
      <c r="E40" s="2" t="str">
        <f>IFERROR(__xludf.DUMMYFUNCTION("""COMPUTED_VALUE"""),"Pedagogy")</f>
        <v>Pedagogy</v>
      </c>
      <c r="F40" s="2" t="str">
        <f>IFERROR(__xludf.DUMMYFUNCTION("""COMPUTED_VALUE"""),"recommendation")</f>
        <v>recommendation</v>
      </c>
      <c r="G40" s="3" t="str">
        <f>IFERROR(__xludf.DUMMYFUNCTION("""COMPUTED_VALUE"""),"Então, didaticamente, pedagogicamente, lecionar dessa maneira, com a abordagem mais prática, eu acho que é mais proveitosa.")</f>
        <v>Então, didaticamente, pedagogicamente, lecionar dessa maneira, com a abordagem mais prática, eu acho que é mais proveitosa.</v>
      </c>
      <c r="H40" s="3" t="str">
        <f>IFERROR(__xludf.DUMMYFUNCTION("""COMPUTED_VALUE"""),"Use a practical approach.")</f>
        <v>Use a practical approach.</v>
      </c>
      <c r="I40" s="2" t="s">
        <v>3405</v>
      </c>
    </row>
    <row r="41">
      <c r="A41" s="50" t="s">
        <v>2868</v>
      </c>
      <c r="B41" s="2">
        <f>IFERROR(__xludf.DUMMYFUNCTION("""COMPUTED_VALUE"""),3.0)</f>
        <v>3</v>
      </c>
      <c r="C41" s="2">
        <f>IFERROR(__xludf.DUMMYFUNCTION("""COMPUTED_VALUE"""),1.0)</f>
        <v>1</v>
      </c>
      <c r="D41" s="2" t="str">
        <f>IFERROR(__xludf.DUMMYFUNCTION("""COMPUTED_VALUE"""),"R1 / R2")</f>
        <v>R1 / R2</v>
      </c>
      <c r="E41" s="2" t="str">
        <f>IFERROR(__xludf.DUMMYFUNCTION("""COMPUTED_VALUE"""),"General Challenges and Recommendations")</f>
        <v>General Challenges and Recommendations</v>
      </c>
      <c r="F41" s="2" t="str">
        <f>IFERROR(__xludf.DUMMYFUNCTION("""COMPUTED_VALUE"""),"recommendation")</f>
        <v>recommendation</v>
      </c>
      <c r="G41" s="3" t="str">
        <f>IFERROR(__xludf.DUMMYFUNCTION("""COMPUTED_VALUE"""),"a mesma disciplina de DevOps hoje ela se aplica na instituição em que eu leciono em relação a turmas voltadas para segurança e gestão de vulnerabilidades e turmas voltadas para desenvolvimento e construção de aplicações")</f>
        <v>a mesma disciplina de DevOps hoje ela se aplica na instituição em que eu leciono em relação a turmas voltadas para segurança e gestão de vulnerabilidades e turmas voltadas para desenvolvimento e construção de aplicações</v>
      </c>
      <c r="H41" s="3" t="str">
        <f>IFERROR(__xludf.DUMMYFUNCTION("""COMPUTED_VALUE"""),"You can use the same discipline of DevOps for operation groups focused on safety and development groups.")</f>
        <v>You can use the same discipline of DevOps for operation groups focused on safety and development groups.</v>
      </c>
      <c r="I41" s="2" t="s">
        <v>3406</v>
      </c>
    </row>
    <row r="42">
      <c r="A42" s="50" t="s">
        <v>2870</v>
      </c>
      <c r="B42" s="2">
        <f>IFERROR(__xludf.DUMMYFUNCTION("""COMPUTED_VALUE"""),3.0)</f>
        <v>3</v>
      </c>
      <c r="C42" s="2">
        <f>IFERROR(__xludf.DUMMYFUNCTION("""COMPUTED_VALUE"""),1.0)</f>
        <v>1</v>
      </c>
      <c r="D42" s="2" t="str">
        <f>IFERROR(__xludf.DUMMYFUNCTION("""COMPUTED_VALUE"""),"R1 / R2")</f>
        <v>R1 / R2</v>
      </c>
      <c r="E42" s="2" t="str">
        <f>IFERROR(__xludf.DUMMYFUNCTION("""COMPUTED_VALUE"""),"General Challenges and Recommendations")</f>
        <v>General Challenges and Recommendations</v>
      </c>
      <c r="F42" s="2" t="str">
        <f>IFERROR(__xludf.DUMMYFUNCTION("""COMPUTED_VALUE"""),"recommendation")</f>
        <v>recommendation</v>
      </c>
      <c r="G42" s="3" t="str">
        <f>IFERROR(__xludf.DUMMYFUNCTION("""COMPUTED_VALUE"""),"em DevOps [...] as turmas de segurança elas estão muito mais em um contexto de entender o que representa do ponto de vista de gestão de vulnerabilidade e de arquitetura, de rede em relação a nuvem,")</f>
        <v>em DevOps [...] as turmas de segurança elas estão muito mais em um contexto de entender o que representa do ponto de vista de gestão de vulnerabilidade e de arquitetura, de rede em relação a nuvem,</v>
      </c>
      <c r="H42" s="3" t="str">
        <f>IFERROR(__xludf.DUMMYFUNCTION("""COMPUTED_VALUE"""),"Teach the part of cloud vulnerability, architecture, and network management to the security classes in DevOps.")</f>
        <v>Teach the part of cloud vulnerability, architecture, and network management to the security classes in DevOps.</v>
      </c>
      <c r="I42" s="2" t="s">
        <v>3407</v>
      </c>
    </row>
    <row r="43">
      <c r="A43" s="50" t="s">
        <v>2872</v>
      </c>
      <c r="B43" s="2">
        <f>IFERROR(__xludf.DUMMYFUNCTION("""COMPUTED_VALUE"""),3.0)</f>
        <v>3</v>
      </c>
      <c r="C43" s="2">
        <f>IFERROR(__xludf.DUMMYFUNCTION("""COMPUTED_VALUE"""),1.0)</f>
        <v>1</v>
      </c>
      <c r="D43" s="2" t="str">
        <f>IFERROR(__xludf.DUMMYFUNCTION("""COMPUTED_VALUE"""),"R1 / R2")</f>
        <v>R1 / R2</v>
      </c>
      <c r="E43" s="2" t="str">
        <f>IFERROR(__xludf.DUMMYFUNCTION("""COMPUTED_VALUE"""),"General Challenges and Recommendations")</f>
        <v>General Challenges and Recommendations</v>
      </c>
      <c r="F43" s="2" t="str">
        <f>IFERROR(__xludf.DUMMYFUNCTION("""COMPUTED_VALUE"""),"recommendation")</f>
        <v>recommendation</v>
      </c>
      <c r="G43" s="3" t="str">
        <f>IFERROR(__xludf.DUMMYFUNCTION("""COMPUTED_VALUE"""),"[...] turmas de desenvolvimento [...] querem entender melhor a questão do DevOps relacionado com processos de delivery contínuo ou como aquilo se traduz na prática e em ferramentas e modelos de entrega que agilizem na construção de aplicações")</f>
        <v>[...] turmas de desenvolvimento [...] querem entender melhor a questão do DevOps relacionado com processos de delivery contínuo ou como aquilo se traduz na prática e em ferramentas e modelos de entrega que agilizem na construção de aplicações</v>
      </c>
      <c r="H43" s="3" t="str">
        <f>IFERROR(__xludf.DUMMYFUNCTION("""COMPUTED_VALUE"""),"Teach continuous delivery in a more practical context for development classes, using tools and delivery models.")</f>
        <v>Teach continuous delivery in a more practical context for development classes, using tools and delivery models.</v>
      </c>
      <c r="I43" s="2" t="s">
        <v>3408</v>
      </c>
    </row>
    <row r="44">
      <c r="A44" s="50" t="s">
        <v>2874</v>
      </c>
      <c r="B44" s="2">
        <f>IFERROR(__xludf.DUMMYFUNCTION("""COMPUTED_VALUE"""),3.0)</f>
        <v>3</v>
      </c>
      <c r="C44" s="2">
        <f>IFERROR(__xludf.DUMMYFUNCTION("""COMPUTED_VALUE"""),1.0)</f>
        <v>1</v>
      </c>
      <c r="D44" s="2" t="str">
        <f>IFERROR(__xludf.DUMMYFUNCTION("""COMPUTED_VALUE"""),"R1 / R2")</f>
        <v>R1 / R2</v>
      </c>
      <c r="E44" s="2" t="str">
        <f>IFERROR(__xludf.DUMMYFUNCTION("""COMPUTED_VALUE"""),"General Challenges and Recommendations")</f>
        <v>General Challenges and Recommendations</v>
      </c>
      <c r="F44" s="2" t="str">
        <f>IFERROR(__xludf.DUMMYFUNCTION("""COMPUTED_VALUE"""),"recommendation")</f>
        <v>recommendation</v>
      </c>
      <c r="G44" s="3" t="str">
        <f>IFERROR(__xludf.DUMMYFUNCTION("""COMPUTED_VALUE"""),"a recomendação é entender qual é o contexto de aprendizado da turma")</f>
        <v>a recomendação é entender qual é o contexto de aprendizado da turma</v>
      </c>
      <c r="H44" s="3" t="str">
        <f>IFERROR(__xludf.DUMMYFUNCTION("""COMPUTED_VALUE"""),"Identify the most compatible DevOps scope for each class.")</f>
        <v>Identify the most compatible DevOps scope for each class.</v>
      </c>
      <c r="I44" s="2" t="s">
        <v>3409</v>
      </c>
    </row>
    <row r="45">
      <c r="A45" s="50" t="s">
        <v>2876</v>
      </c>
      <c r="B45" s="2">
        <f>IFERROR(__xludf.DUMMYFUNCTION("""COMPUTED_VALUE"""),3.0)</f>
        <v>3</v>
      </c>
      <c r="C45" s="2">
        <f>IFERROR(__xludf.DUMMYFUNCTION("""COMPUTED_VALUE"""),2.0)</f>
        <v>2</v>
      </c>
      <c r="D45" s="2" t="str">
        <f>IFERROR(__xludf.DUMMYFUNCTION("""COMPUTED_VALUE"""),"R2 / R3")</f>
        <v>R2 / R3</v>
      </c>
      <c r="E45" s="2" t="str">
        <f>IFERROR(__xludf.DUMMYFUNCTION("""COMPUTED_VALUE"""),"Environment Setup")</f>
        <v>Environment Setup</v>
      </c>
      <c r="F45" s="2" t="str">
        <f>IFERROR(__xludf.DUMMYFUNCTION("""COMPUTED_VALUE"""),"recommendation")</f>
        <v>recommendation</v>
      </c>
      <c r="G45" s="3" t="str">
        <f>IFERROR(__xludf.DUMMYFUNCTION("""COMPUTED_VALUE""")," Então, a recomendação é abusar do uso de soluções online, que facilitam esse processo, mas ao mesmo tempo, travar a jornada. ...  Então, a recomendação é abusar do uso de soluções online, que facilitam esse processo, mas ao mesmo tempo, travar a jornada."&amp;" ")</f>
        <v> Então, a recomendação é abusar do uso de soluções online, que facilitam esse processo, mas ao mesmo tempo, travar a jornada. ...  Então, a recomendação é abusar do uso de soluções online, que facilitam esse processo, mas ao mesmo tempo, travar a jornada. </v>
      </c>
      <c r="H45" s="3" t="str">
        <f>IFERROR(__xludf.DUMMYFUNCTION("""COMPUTED_VALUE"""),"Standardize the use of tools in a well-defined setting.")</f>
        <v>Standardize the use of tools in a well-defined setting.</v>
      </c>
      <c r="I45" s="2" t="s">
        <v>3410</v>
      </c>
    </row>
    <row r="46">
      <c r="A46" s="50" t="s">
        <v>2878</v>
      </c>
      <c r="B46" s="2">
        <f>IFERROR(__xludf.DUMMYFUNCTION("""COMPUTED_VALUE"""),3.0)</f>
        <v>3</v>
      </c>
      <c r="C46" s="2">
        <f>IFERROR(__xludf.DUMMYFUNCTION("""COMPUTED_VALUE"""),2.0)</f>
        <v>2</v>
      </c>
      <c r="D46" s="2" t="str">
        <f>IFERROR(__xludf.DUMMYFUNCTION("""COMPUTED_VALUE"""),"R2 / R3")</f>
        <v>R2 / R3</v>
      </c>
      <c r="E46" s="2" t="str">
        <f>IFERROR(__xludf.DUMMYFUNCTION("""COMPUTED_VALUE"""),"Environment Setup")</f>
        <v>Environment Setup</v>
      </c>
      <c r="F46" s="2" t="str">
        <f>IFERROR(__xludf.DUMMYFUNCTION("""COMPUTED_VALUE"""),"recommendation")</f>
        <v>recommendation</v>
      </c>
      <c r="G46" s="3" t="str">
        <f>IFERROR(__xludf.DUMMYFUNCTION("""COMPUTED_VALUE"""),"[...]ter um mecanismo único e uma etapa inicial, etapa final na qual se queira chegar dentro desse teste facilita muito na hora de você ensinar, na hora de você, principalmente pra por exemplos.")</f>
        <v>[...]ter um mecanismo único e uma etapa inicial, etapa final na qual se queira chegar dentro desse teste facilita muito na hora de você ensinar, na hora de você, principalmente pra por exemplos.</v>
      </c>
      <c r="H46" s="3" t="str">
        <f>IFERROR(__xludf.DUMMYFUNCTION("""COMPUTED_VALUE"""),"Make an example to the student in a practical context from the initial stage to the final step.")</f>
        <v>Make an example to the student in a practical context from the initial stage to the final step.</v>
      </c>
      <c r="I46" s="2" t="s">
        <v>3411</v>
      </c>
    </row>
    <row r="47">
      <c r="A47" s="50" t="s">
        <v>2880</v>
      </c>
      <c r="B47" s="2">
        <f>IFERROR(__xludf.DUMMYFUNCTION("""COMPUTED_VALUE"""),3.0)</f>
        <v>3</v>
      </c>
      <c r="C47" s="2">
        <f>IFERROR(__xludf.DUMMYFUNCTION("""COMPUTED_VALUE"""),3.0)</f>
        <v>3</v>
      </c>
      <c r="D47" s="2" t="str">
        <f>IFERROR(__xludf.DUMMYFUNCTION("""COMPUTED_VALUE"""),"R1 / R3")</f>
        <v>R1 / R3</v>
      </c>
      <c r="E47" s="2" t="str">
        <f>IFERROR(__xludf.DUMMYFUNCTION("""COMPUTED_VALUE"""),"DevOps Concepts")</f>
        <v>DevOps Concepts</v>
      </c>
      <c r="F47" s="2" t="str">
        <f>IFERROR(__xludf.DUMMYFUNCTION("""COMPUTED_VALUE"""),"recommendation")</f>
        <v>recommendation</v>
      </c>
      <c r="G47" s="3" t="str">
        <f>IFERROR(__xludf.DUMMYFUNCTION("""COMPUTED_VALUE"""),"muito mais importante [...] é entender que conceitos como observability, cultura de desenvolvimento, comunicação, compartilhamento, são cernes, são o core do que se propõe em relação a DevOps.")</f>
        <v>muito mais importante [...] é entender que conceitos como observability, cultura de desenvolvimento, comunicação, compartilhamento, são cernes, são o core do que se propõe em relação a DevOps.</v>
      </c>
      <c r="H47" s="3" t="str">
        <f>IFERROR(__xludf.DUMMYFUNCTION("""COMPUTED_VALUE"""),"It is important to teach concepts such as observability and other cultural aspects such as sharing and communication.")</f>
        <v>It is important to teach concepts such as observability and other cultural aspects such as sharing and communication.</v>
      </c>
      <c r="I47" s="2" t="s">
        <v>3412</v>
      </c>
    </row>
    <row r="48">
      <c r="A48" s="50" t="s">
        <v>2882</v>
      </c>
      <c r="B48" s="2">
        <f>IFERROR(__xludf.DUMMYFUNCTION("""COMPUTED_VALUE"""),3.0)</f>
        <v>3</v>
      </c>
      <c r="C48" s="2">
        <f>IFERROR(__xludf.DUMMYFUNCTION("""COMPUTED_VALUE"""),4.0)</f>
        <v>4</v>
      </c>
      <c r="D48" s="2" t="str">
        <f>IFERROR(__xludf.DUMMYFUNCTION("""COMPUTED_VALUE"""),"R1 / R3")</f>
        <v>R1 / R3</v>
      </c>
      <c r="E48" s="2" t="str">
        <f>IFERROR(__xludf.DUMMYFUNCTION("""COMPUTED_VALUE"""),"DevOps Concepts")</f>
        <v>DevOps Concepts</v>
      </c>
      <c r="F48" s="2" t="str">
        <f>IFERROR(__xludf.DUMMYFUNCTION("""COMPUTED_VALUE"""),"recommendation")</f>
        <v>recommendation</v>
      </c>
      <c r="G48" s="3" t="str">
        <f>IFERROR(__xludf.DUMMYFUNCTION("""COMPUTED_VALUE"""),"Apresentar conceitos que estão bem estabelecidos na comunidade, como a questão dos eixos, [...] do processo de DevOps, ")</f>
        <v>Apresentar conceitos que estão bem estabelecidos na comunidade, como a questão dos eixos, [...] do processo de DevOps, </v>
      </c>
      <c r="H48" s="3" t="str">
        <f>IFERROR(__xludf.DUMMYFUNCTION("""COMPUTED_VALUE"""),"Introduce well-established concepts by the DevOps community, such as the DevOps pipeline process.")</f>
        <v>Introduce well-established concepts by the DevOps community, such as the DevOps pipeline process.</v>
      </c>
      <c r="I48" s="2" t="s">
        <v>3413</v>
      </c>
    </row>
    <row r="49">
      <c r="A49" s="50" t="s">
        <v>2884</v>
      </c>
      <c r="B49" s="2">
        <f>IFERROR(__xludf.DUMMYFUNCTION("""COMPUTED_VALUE"""),3.0)</f>
        <v>3</v>
      </c>
      <c r="C49" s="2">
        <f>IFERROR(__xludf.DUMMYFUNCTION("""COMPUTED_VALUE"""),4.0)</f>
        <v>4</v>
      </c>
      <c r="D49" s="2" t="str">
        <f>IFERROR(__xludf.DUMMYFUNCTION("""COMPUTED_VALUE"""),"R1 / R3")</f>
        <v>R1 / R3</v>
      </c>
      <c r="E49" s="2" t="str">
        <f>IFERROR(__xludf.DUMMYFUNCTION("""COMPUTED_VALUE"""),"DevOps Concepts")</f>
        <v>DevOps Concepts</v>
      </c>
      <c r="F49" s="2" t="str">
        <f>IFERROR(__xludf.DUMMYFUNCTION("""COMPUTED_VALUE"""),"recommendation")</f>
        <v>recommendation</v>
      </c>
      <c r="G49" s="3" t="str">
        <f>IFERROR(__xludf.DUMMYFUNCTION("""COMPUTED_VALUE"""),"Apresentar [...] cases sobre como isso se traduz, [...] eliminação dos silos entre operações e desenvolvimento")</f>
        <v>Apresentar [...] cases sobre como isso se traduz, [...] eliminação dos silos entre operações e desenvolvimento</v>
      </c>
      <c r="H49" s="3" t="str">
        <f>IFERROR(__xludf.DUMMYFUNCTION("""COMPUTED_VALUE"""),"Present the use case of devops, for example, the elimination of silos among the development team.")</f>
        <v>Present the use case of devops, for example, the elimination of silos among the development team.</v>
      </c>
      <c r="I49" s="2" t="s">
        <v>3414</v>
      </c>
    </row>
    <row r="50">
      <c r="A50" s="50" t="s">
        <v>2886</v>
      </c>
      <c r="B50" s="2">
        <f>IFERROR(__xludf.DUMMYFUNCTION("""COMPUTED_VALUE"""),3.0)</f>
        <v>3</v>
      </c>
      <c r="C50" s="2">
        <f>IFERROR(__xludf.DUMMYFUNCTION("""COMPUTED_VALUE"""),4.0)</f>
        <v>4</v>
      </c>
      <c r="D50" s="2" t="str">
        <f>IFERROR(__xludf.DUMMYFUNCTION("""COMPUTED_VALUE"""),"R1 / R3")</f>
        <v>R1 / R3</v>
      </c>
      <c r="E50" s="2" t="str">
        <f>IFERROR(__xludf.DUMMYFUNCTION("""COMPUTED_VALUE"""),"DevOps Concepts")</f>
        <v>DevOps Concepts</v>
      </c>
      <c r="F50" s="2" t="str">
        <f>IFERROR(__xludf.DUMMYFUNCTION("""COMPUTED_VALUE"""),"recommendation")</f>
        <v>recommendation</v>
      </c>
      <c r="G50" s="3" t="str">
        <f>IFERROR(__xludf.DUMMYFUNCTION("""COMPUTED_VALUE""")," sempre começar pela cultura antes de ir para o ensino ou para demonstração com base em ferramentas")</f>
        <v> sempre começar pela cultura antes de ir para o ensino ou para demonstração com base em ferramentas</v>
      </c>
      <c r="H50" s="3" t="str">
        <f>IFERROR(__xludf.DUMMYFUNCTION("""COMPUTED_VALUE"""),"Start teaching DevOps from the culture. Only then demonstrate with tools.")</f>
        <v>Start teaching DevOps from the culture. Only then demonstrate with tools.</v>
      </c>
      <c r="I50" s="2" t="s">
        <v>3415</v>
      </c>
    </row>
    <row r="51">
      <c r="A51" s="50" t="s">
        <v>2888</v>
      </c>
      <c r="B51" s="2">
        <f>IFERROR(__xludf.DUMMYFUNCTION("""COMPUTED_VALUE"""),3.0)</f>
        <v>3</v>
      </c>
      <c r="C51" s="2">
        <f>IFERROR(__xludf.DUMMYFUNCTION("""COMPUTED_VALUE"""),5.0)</f>
        <v>5</v>
      </c>
      <c r="D51" s="2" t="str">
        <f>IFERROR(__xludf.DUMMYFUNCTION("""COMPUTED_VALUE"""),"R1 / R3")</f>
        <v>R1 / R3</v>
      </c>
      <c r="E51" s="2" t="str">
        <f>IFERROR(__xludf.DUMMYFUNCTION("""COMPUTED_VALUE"""),"Class Preparation")</f>
        <v>Class Preparation</v>
      </c>
      <c r="F51" s="2" t="str">
        <f>IFERROR(__xludf.DUMMYFUNCTION("""COMPUTED_VALUE"""),"recommendation")</f>
        <v>recommendation</v>
      </c>
      <c r="G51" s="3" t="str">
        <f>IFERROR(__xludf.DUMMYFUNCTION("""COMPUTED_VALUE"""),"construir um laboratório [...] coeso, em um cenário específico, que consiga demonstrar melhor o conceito que está sendo passado ali durante o ensino.")</f>
        <v>construir um laboratório [...] coeso, em um cenário específico, que consiga demonstrar melhor o conceito que está sendo passado ali durante o ensino.</v>
      </c>
      <c r="H51" s="3" t="str">
        <f>IFERROR(__xludf.DUMMYFUNCTION("""COMPUTED_VALUE"""),"Delimit a specific set of tools to build a scenario in order to demonstrate a concept to be taught.")</f>
        <v>Delimit a specific set of tools to build a scenario in order to demonstrate a concept to be taught.</v>
      </c>
      <c r="I51" s="2" t="s">
        <v>3416</v>
      </c>
    </row>
    <row r="52">
      <c r="A52" s="50" t="s">
        <v>2890</v>
      </c>
      <c r="B52" s="2">
        <f>IFERROR(__xludf.DUMMYFUNCTION("""COMPUTED_VALUE"""),3.0)</f>
        <v>3</v>
      </c>
      <c r="C52" s="2">
        <f>IFERROR(__xludf.DUMMYFUNCTION("""COMPUTED_VALUE"""),6.0)</f>
        <v>6</v>
      </c>
      <c r="D52" s="2" t="str">
        <f>IFERROR(__xludf.DUMMYFUNCTION("""COMPUTED_VALUE"""),"R1 / R2")</f>
        <v>R1 / R2</v>
      </c>
      <c r="E52" s="2" t="str">
        <f>IFERROR(__xludf.DUMMYFUNCTION("""COMPUTED_VALUE"""),"Tool / Technology")</f>
        <v>Tool / Technology</v>
      </c>
      <c r="F52" s="2" t="str">
        <f>IFERROR(__xludf.DUMMYFUNCTION("""COMPUTED_VALUE"""),"recommendation")</f>
        <v>recommendation</v>
      </c>
      <c r="G52" s="3" t="str">
        <f>IFERROR(__xludf.DUMMYFUNCTION("""COMPUTED_VALUE"""),"a maioria dessas ferramentas possuem camadas gratuitas, no caso de provedores Cloud. Todos os três principais possuem uma versão voltada para a educação e isso é muito bom. Isso para o professor é um facilitador muito grande.")</f>
        <v>a maioria dessas ferramentas possuem camadas gratuitas, no caso de provedores Cloud. Todos os três principais possuem uma versão voltada para a educação e isso é muito bom. Isso para o professor é um facilitador muito grande.</v>
      </c>
      <c r="H52" s="3" t="str">
        <f>IFERROR(__xludf.DUMMYFUNCTION("""COMPUTED_VALUE"""),"All three main cloud providers have an education-oriented version.")</f>
        <v>All three main cloud providers have an education-oriented version.</v>
      </c>
      <c r="I52" s="2" t="s">
        <v>3417</v>
      </c>
    </row>
    <row r="53">
      <c r="A53" s="50" t="s">
        <v>2892</v>
      </c>
      <c r="B53" s="2">
        <f>IFERROR(__xludf.DUMMYFUNCTION("""COMPUTED_VALUE"""),3.0)</f>
        <v>3</v>
      </c>
      <c r="C53" s="2">
        <f>IFERROR(__xludf.DUMMYFUNCTION("""COMPUTED_VALUE"""),6.0)</f>
        <v>6</v>
      </c>
      <c r="D53" s="2" t="str">
        <f>IFERROR(__xludf.DUMMYFUNCTION("""COMPUTED_VALUE"""),"R1 / R2")</f>
        <v>R1 / R2</v>
      </c>
      <c r="E53" s="2" t="str">
        <f>IFERROR(__xludf.DUMMYFUNCTION("""COMPUTED_VALUE"""),"Tool / Technology")</f>
        <v>Tool / Technology</v>
      </c>
      <c r="F53" s="2" t="str">
        <f>IFERROR(__xludf.DUMMYFUNCTION("""COMPUTED_VALUE"""),"recommendation")</f>
        <v>recommendation</v>
      </c>
      <c r="G53" s="3" t="str">
        <f>IFERROR(__xludf.DUMMYFUNCTION("""COMPUTED_VALUE"""),"colocar o aluno num contexto muito prático, ele consegue ver na aula uma ferramenta que ele provavelmente já viu alguém utilizando na empresa ou já ouviu falar. Isso traz uma imersão muito melhor na aula")</f>
        <v>colocar o aluno num contexto muito prático, ele consegue ver na aula uma ferramenta que ele provavelmente já viu alguém utilizando na empresa ou já ouviu falar. Isso traz uma imersão muito melhor na aula</v>
      </c>
      <c r="H53" s="3" t="str">
        <f>IFERROR(__xludf.DUMMYFUNCTION("""COMPUTED_VALUE"""),"Search for references from practical contexts experienced by students to easy the understanding, using popular tools.")</f>
        <v>Search for references from practical contexts experienced by students to easy the understanding, using popular tools.</v>
      </c>
      <c r="I53" s="2" t="s">
        <v>3418</v>
      </c>
    </row>
    <row r="54">
      <c r="A54" s="50" t="s">
        <v>2894</v>
      </c>
      <c r="B54" s="2">
        <f>IFERROR(__xludf.DUMMYFUNCTION("""COMPUTED_VALUE"""),3.0)</f>
        <v>3</v>
      </c>
      <c r="C54" s="2">
        <f>IFERROR(__xludf.DUMMYFUNCTION("""COMPUTED_VALUE"""),7.0)</f>
        <v>7</v>
      </c>
      <c r="D54" s="2" t="str">
        <f>IFERROR(__xludf.DUMMYFUNCTION("""COMPUTED_VALUE"""),"R2 / R3")</f>
        <v>R2 / R3</v>
      </c>
      <c r="E54" s="2" t="str">
        <f>IFERROR(__xludf.DUMMYFUNCTION("""COMPUTED_VALUE"""),"Assessment")</f>
        <v>Assessment</v>
      </c>
      <c r="F54" s="2" t="str">
        <f>IFERROR(__xludf.DUMMYFUNCTION("""COMPUTED_VALUE"""),"recommendation")</f>
        <v>recommendation</v>
      </c>
      <c r="G54" s="3" t="str">
        <f>IFERROR(__xludf.DUMMYFUNCTION("""COMPUTED_VALUE""")," nós adotamos muito a avaliação baseada em projetos [...] a avaliação desse projeto coloca um aluno no contexto dele testar na prática ou simular, que seja na prática, um pouco do que ele viu durante as aulas.")</f>
        <v> nós adotamos muito a avaliação baseada em projetos [...] a avaliação desse projeto coloca um aluno no contexto dele testar na prática ou simular, que seja na prática, um pouco do que ele viu durante as aulas.</v>
      </c>
      <c r="H54" s="3" t="str">
        <f>IFERROR(__xludf.DUMMYFUNCTION("""COMPUTED_VALUE"""),"Prefer assessment based on practical projects.")</f>
        <v>Prefer assessment based on practical projects.</v>
      </c>
      <c r="I54" s="2" t="s">
        <v>3419</v>
      </c>
    </row>
    <row r="55">
      <c r="A55" s="50" t="s">
        <v>2896</v>
      </c>
      <c r="B55" s="2">
        <f>IFERROR(__xludf.DUMMYFUNCTION("""COMPUTED_VALUE"""),3.0)</f>
        <v>3</v>
      </c>
      <c r="C55" s="2">
        <f>IFERROR(__xludf.DUMMYFUNCTION("""COMPUTED_VALUE"""),8.0)</f>
        <v>8</v>
      </c>
      <c r="D55" s="2" t="str">
        <f>IFERROR(__xludf.DUMMYFUNCTION("""COMPUTED_VALUE"""),"R1 / R3")</f>
        <v>R1 / R3</v>
      </c>
      <c r="E55" s="2" t="str">
        <f>IFERROR(__xludf.DUMMYFUNCTION("""COMPUTED_VALUE"""),"Curriculum")</f>
        <v>Curriculum</v>
      </c>
      <c r="F55" s="2" t="str">
        <f>IFERROR(__xludf.DUMMYFUNCTION("""COMPUTED_VALUE"""),"recommendation")</f>
        <v>recommendation</v>
      </c>
      <c r="G55" s="3" t="str">
        <f>IFERROR(__xludf.DUMMYFUNCTION("""COMPUTED_VALUE"""),"adequar a ementa de acordo com o perfil de aluno que você tem.")</f>
        <v>adequar a ementa de acordo com o perfil de aluno que você tem.</v>
      </c>
      <c r="H55" s="3" t="str">
        <f>IFERROR(__xludf.DUMMYFUNCTION("""COMPUTED_VALUE"""),"Adapt the course according to the profile of students.")</f>
        <v>Adapt the course according to the profile of students.</v>
      </c>
      <c r="I55" s="2" t="s">
        <v>3420</v>
      </c>
    </row>
    <row r="56">
      <c r="A56" s="50" t="s">
        <v>2898</v>
      </c>
      <c r="B56" s="2">
        <f>IFERROR(__xludf.DUMMYFUNCTION("""COMPUTED_VALUE"""),3.0)</f>
        <v>3</v>
      </c>
      <c r="C56" s="2">
        <f>IFERROR(__xludf.DUMMYFUNCTION("""COMPUTED_VALUE"""),8.0)</f>
        <v>8</v>
      </c>
      <c r="D56" s="2" t="str">
        <f>IFERROR(__xludf.DUMMYFUNCTION("""COMPUTED_VALUE"""),"R1 / R3")</f>
        <v>R1 / R3</v>
      </c>
      <c r="E56" s="2" t="str">
        <f>IFERROR(__xludf.DUMMYFUNCTION("""COMPUTED_VALUE"""),"Curriculum")</f>
        <v>Curriculum</v>
      </c>
      <c r="F56" s="2" t="str">
        <f>IFERROR(__xludf.DUMMYFUNCTION("""COMPUTED_VALUE"""),"recommendation")</f>
        <v>recommendation</v>
      </c>
      <c r="G56" s="3" t="str">
        <f>IFERROR(__xludf.DUMMYFUNCTION("""COMPUTED_VALUE"""),"Essa ementa, você terá algumas possibilidades de criar mutações nessa ementa, pois o conceito DevOps, ele é muito aberto, né, ele engloba áreas diferentes entre desenvolvimento, segurança e operações")</f>
        <v>Essa ementa, você terá algumas possibilidades de criar mutações nessa ementa, pois o conceito DevOps, ele é muito aberto, né, ele engloba áreas diferentes entre desenvolvimento, segurança e operações</v>
      </c>
      <c r="H56" s="3" t="str">
        <f>IFERROR(__xludf.DUMMYFUNCTION("""COMPUTED_VALUE"""),"Create mutations in the menu due to the breadth of DevOps encompassing the development, operation, and security part.")</f>
        <v>Create mutations in the menu due to the breadth of DevOps encompassing the development, operation, and security part.</v>
      </c>
      <c r="I56" s="2" t="s">
        <v>3421</v>
      </c>
    </row>
    <row r="57">
      <c r="A57" s="50" t="s">
        <v>2900</v>
      </c>
      <c r="B57" s="2">
        <f>IFERROR(__xludf.DUMMYFUNCTION("""COMPUTED_VALUE"""),3.0)</f>
        <v>3</v>
      </c>
      <c r="C57" s="2">
        <f>IFERROR(__xludf.DUMMYFUNCTION("""COMPUTED_VALUE"""),8.0)</f>
        <v>8</v>
      </c>
      <c r="D57" s="2" t="str">
        <f>IFERROR(__xludf.DUMMYFUNCTION("""COMPUTED_VALUE"""),"R1 / R3")</f>
        <v>R1 / R3</v>
      </c>
      <c r="E57" s="2" t="str">
        <f>IFERROR(__xludf.DUMMYFUNCTION("""COMPUTED_VALUE"""),"Curriculum")</f>
        <v>Curriculum</v>
      </c>
      <c r="F57" s="2" t="str">
        <f>IFERROR(__xludf.DUMMYFUNCTION("""COMPUTED_VALUE"""),"recommendation")</f>
        <v>recommendation</v>
      </c>
      <c r="G57" s="3" t="str">
        <f>IFERROR(__xludf.DUMMYFUNCTION("""COMPUTED_VALUE"""),"ensinar a DevOps [...] como [...] se aplica prático. ")</f>
        <v>ensinar a DevOps [...] como [...] se aplica prático. </v>
      </c>
      <c r="H57" s="3" t="str">
        <f>IFERROR(__xludf.DUMMYFUNCTION("""COMPUTED_VALUE"""),"Teach devops in a practical way by applying it.")</f>
        <v>Teach devops in a practical way by applying it.</v>
      </c>
      <c r="I57" s="2" t="s">
        <v>3422</v>
      </c>
    </row>
    <row r="58">
      <c r="A58" s="50" t="s">
        <v>2902</v>
      </c>
      <c r="B58" s="2">
        <f>IFERROR(__xludf.DUMMYFUNCTION("""COMPUTED_VALUE"""),3.0)</f>
        <v>3</v>
      </c>
      <c r="C58" s="2">
        <f>IFERROR(__xludf.DUMMYFUNCTION("""COMPUTED_VALUE"""),8.0)</f>
        <v>8</v>
      </c>
      <c r="D58" s="2" t="str">
        <f>IFERROR(__xludf.DUMMYFUNCTION("""COMPUTED_VALUE"""),"R1 / R3")</f>
        <v>R1 / R3</v>
      </c>
      <c r="E58" s="2" t="str">
        <f>IFERROR(__xludf.DUMMYFUNCTION("""COMPUTED_VALUE"""),"Curriculum")</f>
        <v>Curriculum</v>
      </c>
      <c r="F58" s="2" t="str">
        <f>IFERROR(__xludf.DUMMYFUNCTION("""COMPUTED_VALUE"""),"recommendation")</f>
        <v>recommendation</v>
      </c>
      <c r="G58" s="3" t="str">
        <f>IFERROR(__xludf.DUMMYFUNCTION("""COMPUTED_VALUE"""),"Identificar os cenários, o caso da Google. A Google, eles têm um conceito muito forte em relação a devops e a ideia do que é o papel, por exemplo, do profissional de SRE de resiliência de ambientes dentro do, da estrutura DevOps.")</f>
        <v>Identificar os cenários, o caso da Google. A Google, eles têm um conceito muito forte em relação a devops e a ideia do que é o papel, por exemplo, do profissional de SRE de resiliência de ambientes dentro do, da estrutura DevOps.</v>
      </c>
      <c r="H58" s="3" t="str">
        <f>IFERROR(__xludf.DUMMYFUNCTION("""COMPUTED_VALUE"""),"Identify the market use cases of devops such as the Google case and the relationship between DevOps and the SRE professional to illustrate the importance of DevOps concepts.")</f>
        <v>Identify the market use cases of devops such as the Google case and the relationship between DevOps and the SRE professional to illustrate the importance of DevOps concepts.</v>
      </c>
      <c r="I58" s="2" t="s">
        <v>3423</v>
      </c>
    </row>
    <row r="59">
      <c r="A59" s="50" t="s">
        <v>2904</v>
      </c>
      <c r="B59" s="2">
        <f>IFERROR(__xludf.DUMMYFUNCTION("""COMPUTED_VALUE"""),3.0)</f>
        <v>3</v>
      </c>
      <c r="C59" s="2">
        <f>IFERROR(__xludf.DUMMYFUNCTION("""COMPUTED_VALUE"""),8.0)</f>
        <v>8</v>
      </c>
      <c r="D59" s="2" t="str">
        <f>IFERROR(__xludf.DUMMYFUNCTION("""COMPUTED_VALUE"""),"R1 / R3")</f>
        <v>R1 / R3</v>
      </c>
      <c r="E59" s="2" t="str">
        <f>IFERROR(__xludf.DUMMYFUNCTION("""COMPUTED_VALUE"""),"Curriculum")</f>
        <v>Curriculum</v>
      </c>
      <c r="F59" s="2" t="str">
        <f>IFERROR(__xludf.DUMMYFUNCTION("""COMPUTED_VALUE"""),"recommendation")</f>
        <v>recommendation</v>
      </c>
      <c r="G59" s="3" t="str">
        <f>IFERROR(__xludf.DUMMYFUNCTION("""COMPUTED_VALUE"""),"esse currículo, uma parte dele, entende? Com uns quarenta por cento, uns sessenta por cento fixo, que é cultura, principais características histórico de como surgiu, né, o que representa a cultura, o que isso muda em relação a processos de desenvolvimento"&amp;", operações de segurança. A parte que é mutável, são as ferramentas, onde você aplicará isso ou que case você para os alunos dentro da sala de aula na ementa do curso.")</f>
        <v>esse currículo, uma parte dele, entende? Com uns quarenta por cento, uns sessenta por cento fixo, que é cultura, principais características histórico de como surgiu, né, o que representa a cultura, o que isso muda em relação a processos de desenvolvimento, operações de segurança. A parte que é mutável, são as ferramentas, onde você aplicará isso ou que case você para os alunos dentro da sala de aula na ementa do curso.</v>
      </c>
      <c r="H59" s="3" t="str">
        <f>IFERROR(__xludf.DUMMYFUNCTION("""COMPUTED_VALUE"""),"Half of the curriculum with DevOps concepts/culture. Half the curriculum with tools.")</f>
        <v>Half of the curriculum with DevOps concepts/culture. Half the curriculum with tools.</v>
      </c>
      <c r="I59" s="2" t="s">
        <v>3424</v>
      </c>
    </row>
    <row r="60">
      <c r="A60" s="50" t="s">
        <v>2906</v>
      </c>
      <c r="B60" s="2">
        <f>IFERROR(__xludf.DUMMYFUNCTION("""COMPUTED_VALUE"""),3.0)</f>
        <v>3</v>
      </c>
      <c r="C60" s="2">
        <f>IFERROR(__xludf.DUMMYFUNCTION("""COMPUTED_VALUE"""),9.0)</f>
        <v>9</v>
      </c>
      <c r="D60" s="2" t="str">
        <f>IFERROR(__xludf.DUMMYFUNCTION("""COMPUTED_VALUE"""),"R1 / R3")</f>
        <v>R1 / R3</v>
      </c>
      <c r="E60" s="2" t="str">
        <f>IFERROR(__xludf.DUMMYFUNCTION("""COMPUTED_VALUE"""),"Pedagogy")</f>
        <v>Pedagogy</v>
      </c>
      <c r="F60" s="2" t="str">
        <f>IFERROR(__xludf.DUMMYFUNCTION("""COMPUTED_VALUE"""),"recommendation")</f>
        <v>recommendation</v>
      </c>
      <c r="G60" s="3" t="str">
        <f>IFERROR(__xludf.DUMMYFUNCTION("""COMPUTED_VALUE"""),"para uma turma de gestão de projetos [...] muitas vezes eu tinha que fazer uma introdução [...] baseada em analogias direta ou analogias com outros cenários que ele já encontrou na parte de gestão de produtos para ele entendesse sobre o que eu estava fala"&amp;"ndo.")</f>
        <v>para uma turma de gestão de projetos [...] muitas vezes eu tinha que fazer uma introdução [...] baseada em analogias direta ou analogias com outros cenários que ele já encontrou na parte de gestão de produtos para ele entendesse sobre o que eu estava falando.</v>
      </c>
      <c r="H60" s="3" t="str">
        <f>IFERROR(__xludf.DUMMYFUNCTION("""COMPUTED_VALUE"""),"For project management class, it is necessary to introduce DevOps through direct analogies or using scenarios known to them during teaching.")</f>
        <v>For project management class, it is necessary to introduce DevOps through direct analogies or using scenarios known to them during teaching.</v>
      </c>
      <c r="I60" s="2" t="s">
        <v>3425</v>
      </c>
    </row>
    <row r="61">
      <c r="A61" s="50" t="s">
        <v>2908</v>
      </c>
      <c r="B61" s="2">
        <f>IFERROR(__xludf.DUMMYFUNCTION("""COMPUTED_VALUE"""),3.0)</f>
        <v>3</v>
      </c>
      <c r="C61" s="2">
        <f>IFERROR(__xludf.DUMMYFUNCTION("""COMPUTED_VALUE"""),11.0)</f>
        <v>11</v>
      </c>
      <c r="D61" s="2" t="str">
        <f>IFERROR(__xludf.DUMMYFUNCTION("""COMPUTED_VALUE"""),"R1 / R2")</f>
        <v>R1 / R2</v>
      </c>
      <c r="E61" s="2" t="str">
        <f>IFERROR(__xludf.DUMMYFUNCTION("""COMPUTED_VALUE"""),"Other Challenge and Recommendation")</f>
        <v>Other Challenge and Recommendation</v>
      </c>
      <c r="F61" s="2" t="str">
        <f>IFERROR(__xludf.DUMMYFUNCTION("""COMPUTED_VALUE"""),"recommendation")</f>
        <v>recommendation</v>
      </c>
      <c r="G61" s="3" t="str">
        <f>IFERROR(__xludf.DUMMYFUNCTION("""COMPUTED_VALUE"""),"sempre focar na cultura, as ferramentas são legais, atraem um aluno, criam um cenário prático, mas ah, erros de implementação de DevOps na prática se dão, principalmente, por empresas e profissionais que não interpretam isso é como uma cultura. ")</f>
        <v>sempre focar na cultura, as ferramentas são legais, atraem um aluno, criam um cenário prático, mas ah, erros de implementação de DevOps na prática se dão, principalmente, por empresas e profissionais que não interpretam isso é como uma cultura. </v>
      </c>
      <c r="H61" s="3" t="str">
        <f>IFERROR(__xludf.DUMMYFUNCTION("""COMPUTED_VALUE"""),"Emphasize the importance of the DevOps culture and propagate it.")</f>
        <v>Emphasize the importance of the DevOps culture and propagate it.</v>
      </c>
      <c r="I61" s="2" t="s">
        <v>3426</v>
      </c>
    </row>
    <row r="62">
      <c r="A62" s="50" t="s">
        <v>2910</v>
      </c>
      <c r="B62" s="2">
        <f>IFERROR(__xludf.DUMMYFUNCTION("""COMPUTED_VALUE"""),4.0)</f>
        <v>4</v>
      </c>
      <c r="C62" s="2">
        <f>IFERROR(__xludf.DUMMYFUNCTION("""COMPUTED_VALUE"""),1.0)</f>
        <v>1</v>
      </c>
      <c r="D62" s="2" t="str">
        <f>IFERROR(__xludf.DUMMYFUNCTION("""COMPUTED_VALUE"""),"R1 / R2")</f>
        <v>R1 / R2</v>
      </c>
      <c r="E62" s="2" t="str">
        <f>IFERROR(__xludf.DUMMYFUNCTION("""COMPUTED_VALUE"""),"General Challenges and Recommendations")</f>
        <v>General Challenges and Recommendations</v>
      </c>
      <c r="F62" s="2" t="str">
        <f>IFERROR(__xludf.DUMMYFUNCTION("""COMPUTED_VALUE"""),"recommendation")</f>
        <v>recommendation</v>
      </c>
      <c r="G62" s="3" t="str">
        <f>IFERROR(__xludf.DUMMYFUNCTION("""COMPUTED_VALUE"""),"explicar como a metodologia pode ser aplicada, com exemplos e, inclusive, ferramentas. ")</f>
        <v>explicar como a metodologia pode ser aplicada, com exemplos e, inclusive, ferramentas. </v>
      </c>
      <c r="H62" s="3" t="str">
        <f>IFERROR(__xludf.DUMMYFUNCTION("""COMPUTED_VALUE"""),"During the explanation of how to apply devops methodology, make use of example including tools.")</f>
        <v>During the explanation of how to apply devops methodology, make use of example including tools.</v>
      </c>
      <c r="I62" s="2" t="s">
        <v>3427</v>
      </c>
    </row>
    <row r="63">
      <c r="A63" s="50" t="s">
        <v>2912</v>
      </c>
      <c r="B63" s="2">
        <f>IFERROR(__xludf.DUMMYFUNCTION("""COMPUTED_VALUE"""),4.0)</f>
        <v>4</v>
      </c>
      <c r="C63" s="2">
        <f>IFERROR(__xludf.DUMMYFUNCTION("""COMPUTED_VALUE"""),2.0)</f>
        <v>2</v>
      </c>
      <c r="D63" s="2" t="str">
        <f>IFERROR(__xludf.DUMMYFUNCTION("""COMPUTED_VALUE"""),"R2 / R3")</f>
        <v>R2 / R3</v>
      </c>
      <c r="E63" s="2" t="str">
        <f>IFERROR(__xludf.DUMMYFUNCTION("""COMPUTED_VALUE"""),"General Challenges and Recommendations")</f>
        <v>General Challenges and Recommendations</v>
      </c>
      <c r="F63" s="2" t="str">
        <f>IFERROR(__xludf.DUMMYFUNCTION("""COMPUTED_VALUE"""),"recommendation")</f>
        <v>recommendation</v>
      </c>
      <c r="G63" s="3" t="str">
        <f>IFERROR(__xludf.DUMMYFUNCTION("""COMPUTED_VALUE"""),"eu não vou entregar uma receita pronta, eu vou usar ferramentas diversas. metodologias diversas que também são ferramentas para que elas tentem aplicar dentro do processo deles")</f>
        <v>eu não vou entregar uma receita pronta, eu vou usar ferramentas diversas. metodologias diversas que também são ferramentas para que elas tentem aplicar dentro do processo deles</v>
      </c>
      <c r="H63" s="3" t="str">
        <f>IFERROR(__xludf.DUMMYFUNCTION("""COMPUTED_VALUE"""),"Use different tools and methodologies.")</f>
        <v>Use different tools and methodologies.</v>
      </c>
      <c r="I63" s="2" t="s">
        <v>3428</v>
      </c>
    </row>
    <row r="64">
      <c r="A64" s="50" t="s">
        <v>2914</v>
      </c>
      <c r="B64" s="2">
        <f>IFERROR(__xludf.DUMMYFUNCTION("""COMPUTED_VALUE"""),4.0)</f>
        <v>4</v>
      </c>
      <c r="C64" s="2">
        <f>IFERROR(__xludf.DUMMYFUNCTION("""COMPUTED_VALUE"""),3.0)</f>
        <v>3</v>
      </c>
      <c r="D64" s="2" t="str">
        <f>IFERROR(__xludf.DUMMYFUNCTION("""COMPUTED_VALUE"""),"R1 / R3")</f>
        <v>R1 / R3</v>
      </c>
      <c r="E64" s="2" t="str">
        <f>IFERROR(__xludf.DUMMYFUNCTION("""COMPUTED_VALUE"""),"General Challenges and Recommendations")</f>
        <v>General Challenges and Recommendations</v>
      </c>
      <c r="F64" s="2" t="str">
        <f>IFERROR(__xludf.DUMMYFUNCTION("""COMPUTED_VALUE"""),"recommendation")</f>
        <v>recommendation</v>
      </c>
      <c r="G64" s="3" t="str">
        <f>IFERROR(__xludf.DUMMYFUNCTION("""COMPUTED_VALUE""")," E DevOps muito em enxergar isso, elas têm background diferentes, elas têm histórias de vida diferente, experiências que marcaram elas de maneiras distintas e saber na hora de apresentar uma ferramenta nova, ouvir o que essas pessoas têm.")</f>
        <v> E DevOps muito em enxergar isso, elas têm background diferentes, elas têm histórias de vida diferente, experiências que marcaram elas de maneiras distintas e saber na hora de apresentar uma ferramenta nova, ouvir o que essas pessoas têm.</v>
      </c>
      <c r="H64" s="3" t="str">
        <f>IFERROR(__xludf.DUMMYFUNCTION("""COMPUTED_VALUE"""),"We seek a communication between students and teachers, where attention is paid to the students' opinions.")</f>
        <v>We seek a communication between students and teachers, where attention is paid to the students' opinions.</v>
      </c>
      <c r="I64" s="2" t="s">
        <v>3429</v>
      </c>
    </row>
    <row r="65">
      <c r="A65" s="50" t="s">
        <v>2916</v>
      </c>
      <c r="B65" s="2">
        <f>IFERROR(__xludf.DUMMYFUNCTION("""COMPUTED_VALUE"""),4.0)</f>
        <v>4</v>
      </c>
      <c r="C65" s="2">
        <f>IFERROR(__xludf.DUMMYFUNCTION("""COMPUTED_VALUE"""),3.0)</f>
        <v>3</v>
      </c>
      <c r="D65" s="2" t="str">
        <f>IFERROR(__xludf.DUMMYFUNCTION("""COMPUTED_VALUE"""),"R1 / R3")</f>
        <v>R1 / R3</v>
      </c>
      <c r="E65" s="2" t="str">
        <f>IFERROR(__xludf.DUMMYFUNCTION("""COMPUTED_VALUE"""),"General Challenges and Recommendations")</f>
        <v>General Challenges and Recommendations</v>
      </c>
      <c r="F65" s="2" t="str">
        <f>IFERROR(__xludf.DUMMYFUNCTION("""COMPUTED_VALUE"""),"recommendation")</f>
        <v>recommendation</v>
      </c>
      <c r="G65" s="3" t="str">
        <f>IFERROR(__xludf.DUMMYFUNCTION("""COMPUTED_VALUE"""),"  Então, se alguma pessoa teve uma experiência mais traumática em tal etapa do processo de entrega, você saber usar isso na hora certa com ela e personificar com ela, falar, olha, como você me disse naquela parte, uma solução que talvez funcionaria pra vo"&amp;"cê, de novo, porque não tem solução pronta, seria aplicar essa tecnologia para tentar mitigar ou resolver. ")</f>
        <v>  Então, se alguma pessoa teve uma experiência mais traumática em tal etapa do processo de entrega, você saber usar isso na hora certa com ela e personificar com ela, falar, olha, como você me disse naquela parte, uma solução que talvez funcionaria pra você, de novo, porque não tem solução pronta, seria aplicar essa tecnologia para tentar mitigar ou resolver. </v>
      </c>
      <c r="H65" s="3" t="str">
        <f>IFERROR(__xludf.DUMMYFUNCTION("""COMPUTED_VALUE"""),"During the explanations, make use of the difficulties, opinions and experiences faced by the students, pointing out solutions using Devops.")</f>
        <v>During the explanations, make use of the difficulties, opinions and experiences faced by the students, pointing out solutions using Devops.</v>
      </c>
      <c r="I65" s="2" t="s">
        <v>3430</v>
      </c>
    </row>
    <row r="66">
      <c r="A66" s="50" t="s">
        <v>2918</v>
      </c>
      <c r="B66" s="2">
        <f>IFERROR(__xludf.DUMMYFUNCTION("""COMPUTED_VALUE"""),4.0)</f>
        <v>4</v>
      </c>
      <c r="C66" s="2">
        <f>IFERROR(__xludf.DUMMYFUNCTION("""COMPUTED_VALUE"""),4.0)</f>
        <v>4</v>
      </c>
      <c r="D66" s="2" t="str">
        <f>IFERROR(__xludf.DUMMYFUNCTION("""COMPUTED_VALUE"""),"R1 / R3")</f>
        <v>R1 / R3</v>
      </c>
      <c r="E66" s="2" t="str">
        <f>IFERROR(__xludf.DUMMYFUNCTION("""COMPUTED_VALUE"""),"Environment Setup")</f>
        <v>Environment Setup</v>
      </c>
      <c r="F66" s="2" t="str">
        <f>IFERROR(__xludf.DUMMYFUNCTION("""COMPUTED_VALUE"""),"recommendation")</f>
        <v>recommendation</v>
      </c>
      <c r="G66" s="3" t="str">
        <f>IFERROR(__xludf.DUMMYFUNCTION("""COMPUTED_VALUE"""),"eu recomendo [...] Mover toda a didática para uma nuvem. [...] entre em contato com a AWS, que eles têm um programa de estudantes, ou com o Google, com Ali Baba, com Azure, com a IBM Cloud. ")</f>
        <v>eu recomendo [...] Mover toda a didática para uma nuvem. [...] entre em contato com a AWS, que eles têm um programa de estudantes, ou com o Google, com Ali Baba, com Azure, com a IBM Cloud. </v>
      </c>
      <c r="H66" s="3" t="str">
        <f>IFERROR(__xludf.DUMMYFUNCTION("""COMPUTED_VALUE"""),"Use student program cloud services like AWS, Google, Azure or IBM Cloud to eliminate hardware and network limitation for students.")</f>
        <v>Use student program cloud services like AWS, Google, Azure or IBM Cloud to eliminate hardware and network limitation for students.</v>
      </c>
      <c r="I66" s="2" t="s">
        <v>3431</v>
      </c>
    </row>
    <row r="67">
      <c r="A67" s="50" t="s">
        <v>2920</v>
      </c>
      <c r="B67" s="2">
        <f>IFERROR(__xludf.DUMMYFUNCTION("""COMPUTED_VALUE"""),4.0)</f>
        <v>4</v>
      </c>
      <c r="C67" s="2">
        <f>IFERROR(__xludf.DUMMYFUNCTION("""COMPUTED_VALUE"""),4.0)</f>
        <v>4</v>
      </c>
      <c r="D67" s="2" t="str">
        <f>IFERROR(__xludf.DUMMYFUNCTION("""COMPUTED_VALUE"""),"R1 / R3")</f>
        <v>R1 / R3</v>
      </c>
      <c r="E67" s="2" t="str">
        <f>IFERROR(__xludf.DUMMYFUNCTION("""COMPUTED_VALUE"""),"Environment Setup")</f>
        <v>Environment Setup</v>
      </c>
      <c r="F67" s="2" t="str">
        <f>IFERROR(__xludf.DUMMYFUNCTION("""COMPUTED_VALUE"""),"recommendation")</f>
        <v>recommendation</v>
      </c>
      <c r="G67" s="3" t="str">
        <f>IFERROR(__xludf.DUMMYFUNCTION("""COMPUTED_VALUE"""),"Nem usar VM, máquinas virtuais, porque a máquina virtual demanda recurso de hardware. E não é sempre que você tem disponibilidade pra subir duas máquinas virtuais na máquina do aluno.")</f>
        <v>Nem usar VM, máquinas virtuais, porque a máquina virtual demanda recurso de hardware. E não é sempre que você tem disponibilidade pra subir duas máquinas virtuais na máquina do aluno.</v>
      </c>
      <c r="H67" s="3" t="str">
        <f>IFERROR(__xludf.DUMMYFUNCTION("""COMPUTED_VALUE"""),"Avoid using virtual machines because they demand hardware resources, which are not always available on the students' devices.")</f>
        <v>Avoid using virtual machines because they demand hardware resources, which are not always available on the students' devices.</v>
      </c>
      <c r="I67" s="2" t="s">
        <v>3432</v>
      </c>
    </row>
    <row r="68">
      <c r="A68" s="50" t="s">
        <v>2922</v>
      </c>
      <c r="B68" s="2">
        <f>IFERROR(__xludf.DUMMYFUNCTION("""COMPUTED_VALUE"""),4.0)</f>
        <v>4</v>
      </c>
      <c r="C68" s="2">
        <f>IFERROR(__xludf.DUMMYFUNCTION("""COMPUTED_VALUE"""),4.0)</f>
        <v>4</v>
      </c>
      <c r="D68" s="2" t="str">
        <f>IFERROR(__xludf.DUMMYFUNCTION("""COMPUTED_VALUE"""),"R1 / R3")</f>
        <v>R1 / R3</v>
      </c>
      <c r="E68" s="2" t="str">
        <f>IFERROR(__xludf.DUMMYFUNCTION("""COMPUTED_VALUE"""),"Environment Setup")</f>
        <v>Environment Setup</v>
      </c>
      <c r="F68" s="2" t="str">
        <f>IFERROR(__xludf.DUMMYFUNCTION("""COMPUTED_VALUE"""),"recommendation")</f>
        <v>recommendation</v>
      </c>
      <c r="G68" s="3" t="str">
        <f>IFERROR(__xludf.DUMMYFUNCTION("""COMPUTED_VALUE"""),"vou subir o ambiente aqui na AWS usando Terraform. Então, provisione as máquinas dos alunos com TerraForm, já explica pros alunos o que você tá fazendo, na hora certa, dentro do cronograma, mas desacoplar a necessidade de que a infraestrutura,")</f>
        <v>vou subir o ambiente aqui na AWS usando Terraform. Então, provisione as máquinas dos alunos com TerraForm, já explica pros alunos o que você tá fazendo, na hora certa, dentro do cronograma, mas desacoplar a necessidade de que a infraestrutura,</v>
      </c>
      <c r="H68" s="3" t="str">
        <f>IFERROR(__xludf.DUMMYFUNCTION("""COMPUTED_VALUE"""),"Use Terraform as a provisioning tool (Infrastructure as Code).")</f>
        <v>Use Terraform as a provisioning tool (Infrastructure as Code).</v>
      </c>
      <c r="I68" s="2" t="s">
        <v>3433</v>
      </c>
    </row>
    <row r="69">
      <c r="A69" s="50" t="s">
        <v>2924</v>
      </c>
      <c r="B69" s="2">
        <f>IFERROR(__xludf.DUMMYFUNCTION("""COMPUTED_VALUE"""),4.0)</f>
        <v>4</v>
      </c>
      <c r="C69" s="2">
        <f>IFERROR(__xludf.DUMMYFUNCTION("""COMPUTED_VALUE"""),5.0)</f>
        <v>5</v>
      </c>
      <c r="D69" s="2" t="str">
        <f>IFERROR(__xludf.DUMMYFUNCTION("""COMPUTED_VALUE"""),"R1 / R3")</f>
        <v>R1 / R3</v>
      </c>
      <c r="E69" s="2" t="str">
        <f>IFERROR(__xludf.DUMMYFUNCTION("""COMPUTED_VALUE"""),"DevOps Concepts")</f>
        <v>DevOps Concepts</v>
      </c>
      <c r="F69" s="2" t="str">
        <f>IFERROR(__xludf.DUMMYFUNCTION("""COMPUTED_VALUE"""),"recommendation")</f>
        <v>recommendation</v>
      </c>
      <c r="G69" s="3" t="str">
        <f>IFERROR(__xludf.DUMMYFUNCTION("""COMPUTED_VALUE"""),"colocar a mão em alguma coisa, pelo menos uma vez a cada, depende muito [...] do cronograma, mas a cada, vou colocar a cada oito horas é uma métrica bem subjetiva, mas você passar algo que seja prático a cada oito horas com exemplos que o aluno interaja, "&amp;"pra você não ficar numa palestra de horas a fio falando, é importante, saber dividir e balancear")</f>
        <v>colocar a mão em alguma coisa, pelo menos uma vez a cada, depende muito [...] do cronograma, mas a cada, vou colocar a cada oito horas é uma métrica bem subjetiva, mas você passar algo que seja prático a cada oito horas com exemplos que o aluno interaja, pra você não ficar numa palestra de horas a fio falando, é importante, saber dividir e balancear</v>
      </c>
      <c r="H69" s="3" t="str">
        <f>IFERROR(__xludf.DUMMYFUNCTION("""COMPUTED_VALUE"""),"Use practical examples regularly for the student to interact.")</f>
        <v>Use practical examples regularly for the student to interact.</v>
      </c>
      <c r="I69" s="2" t="s">
        <v>3434</v>
      </c>
    </row>
    <row r="70">
      <c r="A70" s="50" t="s">
        <v>2926</v>
      </c>
      <c r="B70" s="2">
        <f>IFERROR(__xludf.DUMMYFUNCTION("""COMPUTED_VALUE"""),4.0)</f>
        <v>4</v>
      </c>
      <c r="C70" s="2">
        <f>IFERROR(__xludf.DUMMYFUNCTION("""COMPUTED_VALUE"""),5.0)</f>
        <v>5</v>
      </c>
      <c r="D70" s="2" t="str">
        <f>IFERROR(__xludf.DUMMYFUNCTION("""COMPUTED_VALUE"""),"R1 / R3")</f>
        <v>R1 / R3</v>
      </c>
      <c r="E70" s="2" t="str">
        <f>IFERROR(__xludf.DUMMYFUNCTION("""COMPUTED_VALUE"""),"DevOps Concepts")</f>
        <v>DevOps Concepts</v>
      </c>
      <c r="F70" s="2" t="str">
        <f>IFERROR(__xludf.DUMMYFUNCTION("""COMPUTED_VALUE"""),"recommendation")</f>
        <v>recommendation</v>
      </c>
      <c r="G70" s="3" t="str">
        <f>IFERROR(__xludf.DUMMYFUNCTION("""COMPUTED_VALUE"""),"Ele tem até vinte, vinte e cinco minutos, ele tem a sua atenção. Então, se você não conseguir quebrar isso, alternar o tom de voz que você fala, interagir com ele, se ficar só falando, você perde o aluno depois de vinte minutos facilmente. ")</f>
        <v>Ele tem até vinte, vinte e cinco minutos, ele tem a sua atenção. Então, se você não conseguir quebrar isso, alternar o tom de voz que você fala, interagir com ele, se ficar só falando, você perde o aluno depois de vinte minutos facilmente. </v>
      </c>
      <c r="H70" s="3" t="str">
        <f>IFERROR(__xludf.DUMMYFUNCTION("""COMPUTED_VALUE"""),"Interact with the student and break the tone of voice every 20 minutes, inhibiting their loss of attention.")</f>
        <v>Interact with the student and break the tone of voice every 20 minutes, inhibiting their loss of attention.</v>
      </c>
      <c r="I70" s="2" t="s">
        <v>3435</v>
      </c>
    </row>
    <row r="71">
      <c r="A71" s="50" t="s">
        <v>2928</v>
      </c>
      <c r="B71" s="2">
        <f>IFERROR(__xludf.DUMMYFUNCTION("""COMPUTED_VALUE"""),4.0)</f>
        <v>4</v>
      </c>
      <c r="C71" s="2">
        <f>IFERROR(__xludf.DUMMYFUNCTION("""COMPUTED_VALUE"""),5.0)</f>
        <v>5</v>
      </c>
      <c r="D71" s="2" t="str">
        <f>IFERROR(__xludf.DUMMYFUNCTION("""COMPUTED_VALUE"""),"R1 / R3")</f>
        <v>R1 / R3</v>
      </c>
      <c r="E71" s="2" t="str">
        <f>IFERROR(__xludf.DUMMYFUNCTION("""COMPUTED_VALUE"""),"DevOps Concepts")</f>
        <v>DevOps Concepts</v>
      </c>
      <c r="F71" s="2" t="str">
        <f>IFERROR(__xludf.DUMMYFUNCTION("""COMPUTED_VALUE"""),"recommendation")</f>
        <v>recommendation</v>
      </c>
      <c r="G71" s="3" t="str">
        <f>IFERROR(__xludf.DUMMYFUNCTION("""COMPUTED_VALUE"""),"Então, acho que é importante você quebrar tanto o tom de voz, a didática que você tá usando, colocar exemplos, vai explicar algo que é teórico, como o Lean, por exemplo, faz um exercício que simula o processo de Lean, não no software, pode até ser com sof"&amp;"tware, pode ser com blocos, use o trello, interaja com o aluno, porque se você ficar mais de vinte minutos falando, enfim, qualquer situação, inclusive numa palestra normal, você perde o aluno, você perde a audiência, na verdade.")</f>
        <v>Então, acho que é importante você quebrar tanto o tom de voz, a didática que você tá usando, colocar exemplos, vai explicar algo que é teórico, como o Lean, por exemplo, faz um exercício que simula o processo de Lean, não no software, pode até ser com software, pode ser com blocos, use o trello, interaja com o aluno, porque se você ficar mais de vinte minutos falando, enfim, qualquer situação, inclusive numa palestra normal, você perde o aluno, você perde a audiência, na verdade.</v>
      </c>
      <c r="H71" s="3" t="str">
        <f>IFERROR(__xludf.DUMMYFUNCTION("""COMPUTED_VALUE"""),"Use examples with students to teach theory. For instance, we are using blocks or Trello to teach Lean.")</f>
        <v>Use examples with students to teach theory. For instance, we are using blocks or Trello to teach Lean.</v>
      </c>
      <c r="I71" s="2" t="s">
        <v>3436</v>
      </c>
    </row>
    <row r="72">
      <c r="A72" s="50" t="s">
        <v>2930</v>
      </c>
      <c r="B72" s="2">
        <f>IFERROR(__xludf.DUMMYFUNCTION("""COMPUTED_VALUE"""),4.0)</f>
        <v>4</v>
      </c>
      <c r="C72" s="2">
        <f>IFERROR(__xludf.DUMMYFUNCTION("""COMPUTED_VALUE"""),6.0)</f>
        <v>6</v>
      </c>
      <c r="D72" s="2" t="str">
        <f>IFERROR(__xludf.DUMMYFUNCTION("""COMPUTED_VALUE"""),"R1 / R2")</f>
        <v>R1 / R2</v>
      </c>
      <c r="E72" s="2" t="str">
        <f>IFERROR(__xludf.DUMMYFUNCTION("""COMPUTED_VALUE"""),"Class Preparation")</f>
        <v>Class Preparation</v>
      </c>
      <c r="F72" s="2" t="str">
        <f>IFERROR(__xludf.DUMMYFUNCTION("""COMPUTED_VALUE"""),"recommendation")</f>
        <v>recommendation</v>
      </c>
      <c r="G72" s="3" t="str">
        <f>IFERROR(__xludf.DUMMYFUNCTION("""COMPUTED_VALUE"""),"Se é uma turma que, especificamente, foi passado pra gente as necessidades e as características antes, como limitações de acesso, limitação de instalação de software na máquina, eu preparo a aula e a gente tem o cronograma como um todo, que é pronto, tem "&amp;"começo, meio e fim. ")</f>
        <v>Se é uma turma que, especificamente, foi passado pra gente as necessidades e as características antes, como limitações de acesso, limitação de instalação de software na máquina, eu preparo a aula e a gente tem o cronograma como um todo, que é pronto, tem começo, meio e fim. </v>
      </c>
      <c r="H72" s="3" t="str">
        <f>IFERROR(__xludf.DUMMYFUNCTION("""COMPUTED_VALUE"""),"Seek to know in advance the needs and limitations of the class, such as installing software, for example, to create a more efficient schedule.")</f>
        <v>Seek to know in advance the needs and limitations of the class, such as installing software, for example, to create a more efficient schedule.</v>
      </c>
      <c r="I72" s="2" t="s">
        <v>3437</v>
      </c>
    </row>
    <row r="73">
      <c r="A73" s="50" t="s">
        <v>2932</v>
      </c>
      <c r="B73" s="2">
        <f>IFERROR(__xludf.DUMMYFUNCTION("""COMPUTED_VALUE"""),4.0)</f>
        <v>4</v>
      </c>
      <c r="C73" s="2">
        <f>IFERROR(__xludf.DUMMYFUNCTION("""COMPUTED_VALUE"""),6.0)</f>
        <v>6</v>
      </c>
      <c r="D73" s="2" t="str">
        <f>IFERROR(__xludf.DUMMYFUNCTION("""COMPUTED_VALUE"""),"R1 / R2")</f>
        <v>R1 / R2</v>
      </c>
      <c r="E73" s="2" t="str">
        <f>IFERROR(__xludf.DUMMYFUNCTION("""COMPUTED_VALUE"""),"Class Preparation")</f>
        <v>Class Preparation</v>
      </c>
      <c r="F73" s="2" t="str">
        <f>IFERROR(__xludf.DUMMYFUNCTION("""COMPUTED_VALUE"""),"recommendation")</f>
        <v>recommendation</v>
      </c>
      <c r="G73" s="3" t="str">
        <f>IFERROR(__xludf.DUMMYFUNCTION("""COMPUTED_VALUE"""),"se for um caso onde eu não tenho acesso a quase nada, eu preciso ir pra uma Cloud pra fazer aula com o aluno, mesmo que não envolva dentro do curso, em si. Eu preciso fazer tudo remoto. ")</f>
        <v>se for um caso onde eu não tenho acesso a quase nada, eu preciso ir pra uma Cloud pra fazer aula com o aluno, mesmo que não envolva dentro do curso, em si. Eu preciso fazer tudo remoto. </v>
      </c>
      <c r="H73" s="3" t="str">
        <f>IFERROR(__xludf.DUMMYFUNCTION("""COMPUTED_VALUE"""),"For a scenario with limited resources, it is recommended to make use of public cloud services.")</f>
        <v>For a scenario with limited resources, it is recommended to make use of public cloud services.</v>
      </c>
      <c r="I73" s="2" t="s">
        <v>3438</v>
      </c>
    </row>
    <row r="74">
      <c r="A74" s="50" t="s">
        <v>2934</v>
      </c>
      <c r="B74" s="2">
        <f>IFERROR(__xludf.DUMMYFUNCTION("""COMPUTED_VALUE"""),4.0)</f>
        <v>4</v>
      </c>
      <c r="C74" s="2">
        <f>IFERROR(__xludf.DUMMYFUNCTION("""COMPUTED_VALUE"""),6.0)</f>
        <v>6</v>
      </c>
      <c r="D74" s="2" t="str">
        <f>IFERROR(__xludf.DUMMYFUNCTION("""COMPUTED_VALUE"""),"R1 / R2")</f>
        <v>R1 / R2</v>
      </c>
      <c r="E74" s="2" t="str">
        <f>IFERROR(__xludf.DUMMYFUNCTION("""COMPUTED_VALUE"""),"Class Preparation")</f>
        <v>Class Preparation</v>
      </c>
      <c r="F74" s="2" t="str">
        <f>IFERROR(__xludf.DUMMYFUNCTION("""COMPUTED_VALUE"""),"recommendation")</f>
        <v>recommendation</v>
      </c>
      <c r="G74" s="3" t="str">
        <f>IFERROR(__xludf.DUMMYFUNCTION("""COMPUTED_VALUE"""),"se for uma turma mista, a gente previamente envia aos alunos um documento que mostra, né? Quais são os pré-requisitos para que ele faça o curso, software, versões de software, como instalar, bem documentado.")</f>
        <v>se for uma turma mista, a gente previamente envia aos alunos um documento que mostra, né? Quais são os pré-requisitos para que ele faça o curso, software, versões de software, como instalar, bem documentado.</v>
      </c>
      <c r="H74" s="3" t="str">
        <f>IFERROR(__xludf.DUMMYFUNCTION("""COMPUTED_VALUE"""),"Share course prerequisites with students in advance.")</f>
        <v>Share course prerequisites with students in advance.</v>
      </c>
      <c r="I74" s="2" t="s">
        <v>3439</v>
      </c>
    </row>
    <row r="75">
      <c r="A75" s="50" t="s">
        <v>2936</v>
      </c>
      <c r="B75" s="2">
        <f>IFERROR(__xludf.DUMMYFUNCTION("""COMPUTED_VALUE"""),4.0)</f>
        <v>4</v>
      </c>
      <c r="C75" s="2">
        <f>IFERROR(__xludf.DUMMYFUNCTION("""COMPUTED_VALUE"""),6.0)</f>
        <v>6</v>
      </c>
      <c r="D75" s="2" t="str">
        <f>IFERROR(__xludf.DUMMYFUNCTION("""COMPUTED_VALUE"""),"R1 / R2")</f>
        <v>R1 / R2</v>
      </c>
      <c r="E75" s="2" t="str">
        <f>IFERROR(__xludf.DUMMYFUNCTION("""COMPUTED_VALUE"""),"Class Preparation")</f>
        <v>Class Preparation</v>
      </c>
      <c r="F75" s="2" t="str">
        <f>IFERROR(__xludf.DUMMYFUNCTION("""COMPUTED_VALUE"""),"recommendation")</f>
        <v>recommendation</v>
      </c>
      <c r="G75" s="3" t="str">
        <f>IFERROR(__xludf.DUMMYFUNCTION("""COMPUTED_VALUE"""),"São documentos que a gente manda em etapas separadas do curso [...] gente quebra os documentos de infraestrutura de propósito para poder fazer o processo de Kaisen dentro do Lean para unificar a documentação para que o aluno entenda a dificuldade que ele "&amp;"enfrentou e a dificuldade que ele vai enfrentar no dia a dia.")</f>
        <v>São documentos que a gente manda em etapas separadas do curso [...] gente quebra os documentos de infraestrutura de propósito para poder fazer o processo de Kaisen dentro do Lean para unificar a documentação para que o aluno entenda a dificuldade que ele enfrentou e a dificuldade que ele vai enfrentar no dia a dia.</v>
      </c>
      <c r="H75" s="3" t="str">
        <f>IFERROR(__xludf.DUMMYFUNCTION("""COMPUTED_VALUE"""),"Create student support examples and guidelines, breaks into parts to go through the steps gradually.")</f>
        <v>Create student support examples and guidelines, breaks into parts to go through the steps gradually.</v>
      </c>
      <c r="I75" s="2" t="s">
        <v>3440</v>
      </c>
    </row>
    <row r="76">
      <c r="A76" s="50" t="s">
        <v>2938</v>
      </c>
      <c r="B76" s="2">
        <f>IFERROR(__xludf.DUMMYFUNCTION("""COMPUTED_VALUE"""),4.0)</f>
        <v>4</v>
      </c>
      <c r="C76" s="2">
        <f>IFERROR(__xludf.DUMMYFUNCTION("""COMPUTED_VALUE"""),6.0)</f>
        <v>6</v>
      </c>
      <c r="D76" s="2" t="str">
        <f>IFERROR(__xludf.DUMMYFUNCTION("""COMPUTED_VALUE"""),"R1 / R2")</f>
        <v>R1 / R2</v>
      </c>
      <c r="E76" s="2" t="str">
        <f>IFERROR(__xludf.DUMMYFUNCTION("""COMPUTED_VALUE"""),"Class Preparation")</f>
        <v>Class Preparation</v>
      </c>
      <c r="F76" s="2" t="str">
        <f>IFERROR(__xludf.DUMMYFUNCTION("""COMPUTED_VALUE"""),"recommendation")</f>
        <v>recommendation</v>
      </c>
      <c r="G76" s="3" t="str">
        <f>IFERROR(__xludf.DUMMYFUNCTION("""COMPUTED_VALUE"""),"Então a gente quebra os documentos de infraestrutura de propósito para poder fazer o processo de Kaisen dentro do Lean para unificar a documentação para que o aluno entenda a dificuldade que ele enfrentou e a dificuldade que ele vai enfrentar no dia a dia"&amp;".")</f>
        <v>Então a gente quebra os documentos de infraestrutura de propósito para poder fazer o processo de Kaisen dentro do Lean para unificar a documentação para que o aluno entenda a dificuldade que ele enfrentou e a dificuldade que ele vai enfrentar no dia a dia.</v>
      </c>
      <c r="H76" s="3" t="str">
        <f>IFERROR(__xludf.DUMMYFUNCTION("""COMPUTED_VALUE"""),"Simulate real problems that the student will likely face in their daily lives.")</f>
        <v>Simulate real problems that the student will likely face in their daily lives.</v>
      </c>
      <c r="I76" s="2" t="s">
        <v>3441</v>
      </c>
    </row>
    <row r="77">
      <c r="A77" s="50" t="s">
        <v>2940</v>
      </c>
      <c r="B77" s="2">
        <f>IFERROR(__xludf.DUMMYFUNCTION("""COMPUTED_VALUE"""),4.0)</f>
        <v>4</v>
      </c>
      <c r="C77" s="2">
        <f>IFERROR(__xludf.DUMMYFUNCTION("""COMPUTED_VALUE"""),6.0)</f>
        <v>6</v>
      </c>
      <c r="D77" s="2" t="str">
        <f>IFERROR(__xludf.DUMMYFUNCTION("""COMPUTED_VALUE"""),"R1 / R2")</f>
        <v>R1 / R2</v>
      </c>
      <c r="E77" s="2" t="str">
        <f>IFERROR(__xludf.DUMMYFUNCTION("""COMPUTED_VALUE"""),"Class Preparation")</f>
        <v>Class Preparation</v>
      </c>
      <c r="F77" s="2" t="str">
        <f>IFERROR(__xludf.DUMMYFUNCTION("""COMPUTED_VALUE"""),"recommendation")</f>
        <v>recommendation</v>
      </c>
      <c r="G77" s="3" t="str">
        <f>IFERROR(__xludf.DUMMYFUNCTION("""COMPUTED_VALUE"""),"Eu prefiro tirar durante a aula para mostrar os os bloqueios do dia a dia que é a entrega no fim das contas. Mas a recomendação é usar os bloqueios de infraestrutura para você alimentar o seu curso, como didática. Você fala, olha, lembra o bloqueio que a "&amp;"gente teve? A dependência, o software é feito em Java 8 e a gente tentou compilar uma máquina que tinha Java 15. Está vendo esse problema? Como a gente resolve? A gente analisa, roda alguns frameworks de análise de processo, porque ferramenta a gente pode"&amp;" falar de qualquer linguagem, mas usar isso como experiência. ")</f>
        <v>Eu prefiro tirar durante a aula para mostrar os os bloqueios do dia a dia que é a entrega no fim das contas. Mas a recomendação é usar os bloqueios de infraestrutura para você alimentar o seu curso, como didática. Você fala, olha, lembra o bloqueio que a gente teve? A dependência, o software é feito em Java 8 e a gente tentou compilar uma máquina que tinha Java 15. Está vendo esse problema? Como a gente resolve? A gente analisa, roda alguns frameworks de análise de processo, porque ferramenta a gente pode falar de qualquer linguagem, mas usar isso como experiência. </v>
      </c>
      <c r="H77" s="3" t="str">
        <f>IFERROR(__xludf.DUMMYFUNCTION("""COMPUTED_VALUE"""),"Use the difficulties with infrastructure in favor of learning, conducting discussions among students.")</f>
        <v>Use the difficulties with infrastructure in favor of learning, conducting discussions among students.</v>
      </c>
      <c r="I77" s="2" t="s">
        <v>3442</v>
      </c>
    </row>
    <row r="78">
      <c r="A78" s="50" t="s">
        <v>2942</v>
      </c>
      <c r="B78" s="2">
        <f>IFERROR(__xludf.DUMMYFUNCTION("""COMPUTED_VALUE"""),4.0)</f>
        <v>4</v>
      </c>
      <c r="C78" s="2">
        <f>IFERROR(__xludf.DUMMYFUNCTION("""COMPUTED_VALUE"""),6.0)</f>
        <v>6</v>
      </c>
      <c r="D78" s="2" t="str">
        <f>IFERROR(__xludf.DUMMYFUNCTION("""COMPUTED_VALUE"""),"R1 / R2")</f>
        <v>R1 / R2</v>
      </c>
      <c r="E78" s="2" t="str">
        <f>IFERROR(__xludf.DUMMYFUNCTION("""COMPUTED_VALUE"""),"Class Preparation")</f>
        <v>Class Preparation</v>
      </c>
      <c r="F78" s="2" t="str">
        <f>IFERROR(__xludf.DUMMYFUNCTION("""COMPUTED_VALUE"""),"recommendation")</f>
        <v>recommendation</v>
      </c>
      <c r="G78" s="3" t="str">
        <f>IFERROR(__xludf.DUMMYFUNCTION("""COMPUTED_VALUE"""),"do ponto de vista didático, a gente deixa uma ou duas horas antes de cada, cada dia, tem uma equipe de infra específica pra tirar alguma dúvida do aluno.")</f>
        <v>do ponto de vista didático, a gente deixa uma ou duas horas antes de cada, cada dia, tem uma equipe de infra específica pra tirar alguma dúvida do aluno.</v>
      </c>
      <c r="H78" s="3" t="str">
        <f>IFERROR(__xludf.DUMMYFUNCTION("""COMPUTED_VALUE"""),"There is a specific support team to answer students' questions about the related infrastructure part.")</f>
        <v>There is a specific support team to answer students' questions about the related infrastructure part.</v>
      </c>
      <c r="I78" s="2" t="s">
        <v>3443</v>
      </c>
    </row>
    <row r="79">
      <c r="A79" s="50" t="s">
        <v>2944</v>
      </c>
      <c r="B79" s="2">
        <f>IFERROR(__xludf.DUMMYFUNCTION("""COMPUTED_VALUE"""),4.0)</f>
        <v>4</v>
      </c>
      <c r="C79" s="2">
        <f>IFERROR(__xludf.DUMMYFUNCTION("""COMPUTED_VALUE"""),6.0)</f>
        <v>6</v>
      </c>
      <c r="D79" s="2" t="str">
        <f>IFERROR(__xludf.DUMMYFUNCTION("""COMPUTED_VALUE"""),"R1 / R2")</f>
        <v>R1 / R2</v>
      </c>
      <c r="E79" s="2" t="str">
        <f>IFERROR(__xludf.DUMMYFUNCTION("""COMPUTED_VALUE"""),"Class Preparation")</f>
        <v>Class Preparation</v>
      </c>
      <c r="F79" s="2" t="str">
        <f>IFERROR(__xludf.DUMMYFUNCTION("""COMPUTED_VALUE"""),"recommendation")</f>
        <v>recommendation</v>
      </c>
      <c r="G79" s="3" t="str">
        <f>IFERROR(__xludf.DUMMYFUNCTION("""COMPUTED_VALUE"""),"perceber o quanto você está se desviando, porque o aluno tá com um problema que é muito específico dele e perde um pouco a didática. Então, saber limitar também, trabalhar, depois, com o aluno, falar, olha, a gente vai conversar com mais calma, por conta "&amp;"dessa situação sua ser muito específica. Tem que ter um ponto de quebra, porque senão você perde os outros alunos")</f>
        <v>perceber o quanto você está se desviando, porque o aluno tá com um problema que é muito específico dele e perde um pouco a didática. Então, saber limitar também, trabalhar, depois, com o aluno, falar, olha, a gente vai conversar com mais calma, por conta dessa situação sua ser muito específica. Tem que ter um ponto de quebra, porque senão você perde os outros alunos</v>
      </c>
      <c r="H79" s="3" t="str">
        <f>IFERROR(__xludf.DUMMYFUNCTION("""COMPUTED_VALUE"""),"Avoid messing around with specific problems faced by students, dealing in a personalized way at the right time.")</f>
        <v>Avoid messing around with specific problems faced by students, dealing in a personalized way at the right time.</v>
      </c>
      <c r="I79" s="2" t="s">
        <v>3444</v>
      </c>
    </row>
    <row r="80">
      <c r="A80" s="50" t="s">
        <v>2946</v>
      </c>
      <c r="B80" s="2">
        <f>IFERROR(__xludf.DUMMYFUNCTION("""COMPUTED_VALUE"""),4.0)</f>
        <v>4</v>
      </c>
      <c r="C80" s="2">
        <f>IFERROR(__xludf.DUMMYFUNCTION("""COMPUTED_VALUE"""),7.0)</f>
        <v>7</v>
      </c>
      <c r="D80" s="2" t="str">
        <f>IFERROR(__xludf.DUMMYFUNCTION("""COMPUTED_VALUE"""),"R2 / R3")</f>
        <v>R2 / R3</v>
      </c>
      <c r="E80" s="2" t="str">
        <f>IFERROR(__xludf.DUMMYFUNCTION("""COMPUTED_VALUE"""),"Tool / Technology")</f>
        <v>Tool / Technology</v>
      </c>
      <c r="F80" s="2" t="str">
        <f>IFERROR(__xludf.DUMMYFUNCTION("""COMPUTED_VALUE"""),"recommendation")</f>
        <v>recommendation</v>
      </c>
      <c r="G80" s="3" t="str">
        <f>IFERROR(__xludf.DUMMYFUNCTION("""COMPUTED_VALUE"""),"Uma ferramenta de tracking de tarefas, de task. Aí, pode ser o Notion ou o Trello, acho que é básico. ")</f>
        <v>Uma ferramenta de tracking de tarefas, de task. Aí, pode ser o Notion ou o Trello, acho que é básico. </v>
      </c>
      <c r="H80" s="3" t="str">
        <f>IFERROR(__xludf.DUMMYFUNCTION("""COMPUTED_VALUE"""),"Use a task tracking tool like Trello or Notion.")</f>
        <v>Use a task tracking tool like Trello or Notion.</v>
      </c>
      <c r="I80" s="2" t="s">
        <v>3445</v>
      </c>
    </row>
    <row r="81">
      <c r="A81" s="50" t="s">
        <v>2948</v>
      </c>
      <c r="B81" s="2">
        <f>IFERROR(__xludf.DUMMYFUNCTION("""COMPUTED_VALUE"""),4.0)</f>
        <v>4</v>
      </c>
      <c r="C81" s="2">
        <f>IFERROR(__xludf.DUMMYFUNCTION("""COMPUTED_VALUE"""),7.0)</f>
        <v>7</v>
      </c>
      <c r="D81" s="2" t="str">
        <f>IFERROR(__xludf.DUMMYFUNCTION("""COMPUTED_VALUE"""),"R2 / R3")</f>
        <v>R2 / R3</v>
      </c>
      <c r="E81" s="2" t="str">
        <f>IFERROR(__xludf.DUMMYFUNCTION("""COMPUTED_VALUE"""),"Tool / Technology")</f>
        <v>Tool / Technology</v>
      </c>
      <c r="F81" s="2" t="str">
        <f>IFERROR(__xludf.DUMMYFUNCTION("""COMPUTED_VALUE"""),"recommendation")</f>
        <v>recommendation</v>
      </c>
      <c r="G81" s="3" t="str">
        <f>IFERROR(__xludf.DUMMYFUNCTION("""COMPUTED_VALUE"""),"Eu acho que tem que ter duas ferramentas sempre, a de stream que seriam o zoom, Google Meet, qualquer ferramenta que faça isso, o Webex não sei, depende da empresa ")</f>
        <v>Eu acho que tem que ter duas ferramentas sempre, a de stream que seriam o zoom, Google Meet, qualquer ferramenta que faça isso, o Webex não sei, depende da empresa </v>
      </c>
      <c r="H81" s="3" t="str">
        <f>IFERROR(__xludf.DUMMYFUNCTION("""COMPUTED_VALUE"""),"Use a streaming tool like Zoom, Google Meet, or Webex in remote learning scenario.")</f>
        <v>Use a streaming tool like Zoom, Google Meet, or Webex in remote learning scenario.</v>
      </c>
      <c r="I81" s="2" t="s">
        <v>3446</v>
      </c>
    </row>
    <row r="82">
      <c r="A82" s="50" t="s">
        <v>2950</v>
      </c>
      <c r="B82" s="2">
        <f>IFERROR(__xludf.DUMMYFUNCTION("""COMPUTED_VALUE"""),4.0)</f>
        <v>4</v>
      </c>
      <c r="C82" s="2">
        <f>IFERROR(__xludf.DUMMYFUNCTION("""COMPUTED_VALUE"""),7.0)</f>
        <v>7</v>
      </c>
      <c r="D82" s="2" t="str">
        <f>IFERROR(__xludf.DUMMYFUNCTION("""COMPUTED_VALUE"""),"R2 / R3")</f>
        <v>R2 / R3</v>
      </c>
      <c r="E82" s="2" t="str">
        <f>IFERROR(__xludf.DUMMYFUNCTION("""COMPUTED_VALUE"""),"Tool / Technology")</f>
        <v>Tool / Technology</v>
      </c>
      <c r="F82" s="2" t="str">
        <f>IFERROR(__xludf.DUMMYFUNCTION("""COMPUTED_VALUE"""),"recommendation")</f>
        <v>recommendation</v>
      </c>
      <c r="G82" s="3" t="str">
        <f>IFERROR(__xludf.DUMMYFUNCTION("""COMPUTED_VALUE"""),"eu tô preferindo o Notion apesar de trabalhar para empresa do Trello eu prefiro o Notion por um motivo. Eu consigo exportar ele em Markdown e versionar direto toda documentação. Então, pra cada dia do curso, todos os comandos que a gente vai rodando ou os"&amp;" conteúdos adicionais, eu vou listando, vou interagindo com eles, eles interagem junto. ")</f>
        <v>eu tô preferindo o Notion apesar de trabalhar para empresa do Trello eu prefiro o Notion por um motivo. Eu consigo exportar ele em Markdown e versionar direto toda documentação. Então, pra cada dia do curso, todos os comandos que a gente vai rodando ou os conteúdos adicionais, eu vou listando, vou interagindo com eles, eles interagem junto. </v>
      </c>
      <c r="H82" s="3" t="str">
        <f>IFERROR(__xludf.DUMMYFUNCTION("""COMPUTED_VALUE"""),"The Notion tool allows exporting to Markdown, enabling the versioning of documentation for each day of the course: all executed commands and additional content.")</f>
        <v>The Notion tool allows exporting to Markdown, enabling the versioning of documentation for each day of the course: all executed commands and additional content.</v>
      </c>
      <c r="I82" s="2" t="s">
        <v>3447</v>
      </c>
    </row>
    <row r="83">
      <c r="A83" s="50" t="s">
        <v>2952</v>
      </c>
      <c r="B83" s="2">
        <f>IFERROR(__xludf.DUMMYFUNCTION("""COMPUTED_VALUE"""),4.0)</f>
        <v>4</v>
      </c>
      <c r="C83" s="2">
        <f>IFERROR(__xludf.DUMMYFUNCTION("""COMPUTED_VALUE"""),7.0)</f>
        <v>7</v>
      </c>
      <c r="D83" s="2" t="str">
        <f>IFERROR(__xludf.DUMMYFUNCTION("""COMPUTED_VALUE"""),"R2 / R3")</f>
        <v>R2 / R3</v>
      </c>
      <c r="E83" s="2" t="str">
        <f>IFERROR(__xludf.DUMMYFUNCTION("""COMPUTED_VALUE"""),"Tool / Technology")</f>
        <v>Tool / Technology</v>
      </c>
      <c r="F83" s="2" t="str">
        <f>IFERROR(__xludf.DUMMYFUNCTION("""COMPUTED_VALUE"""),"recommendation")</f>
        <v>recommendation</v>
      </c>
      <c r="G83" s="3" t="str">
        <f>IFERROR(__xludf.DUMMYFUNCTION("""COMPUTED_VALUE"""),"E um repositório de código, pode GitLab, Github, que aí você consegue compartilhar com os alunos, essa, essa situação")</f>
        <v>E um repositório de código, pode GitLab, Github, que aí você consegue compartilhar com os alunos, essa, essa situação</v>
      </c>
      <c r="H83" s="3" t="str">
        <f>IFERROR(__xludf.DUMMYFUNCTION("""COMPUTED_VALUE"""),"Use a code repository tool like Gitlab or Github.")</f>
        <v>Use a code repository tool like Gitlab or Github.</v>
      </c>
      <c r="I83" s="2" t="s">
        <v>3448</v>
      </c>
    </row>
    <row r="84">
      <c r="A84" s="50" t="s">
        <v>2954</v>
      </c>
      <c r="B84" s="2">
        <f>IFERROR(__xludf.DUMMYFUNCTION("""COMPUTED_VALUE"""),4.0)</f>
        <v>4</v>
      </c>
      <c r="C84" s="2">
        <f>IFERROR(__xludf.DUMMYFUNCTION("""COMPUTED_VALUE"""),7.0)</f>
        <v>7</v>
      </c>
      <c r="D84" s="2" t="str">
        <f>IFERROR(__xludf.DUMMYFUNCTION("""COMPUTED_VALUE"""),"R2 / R3")</f>
        <v>R2 / R3</v>
      </c>
      <c r="E84" s="2" t="str">
        <f>IFERROR(__xludf.DUMMYFUNCTION("""COMPUTED_VALUE"""),"Tool / Technology")</f>
        <v>Tool / Technology</v>
      </c>
      <c r="F84" s="2" t="str">
        <f>IFERROR(__xludf.DUMMYFUNCTION("""COMPUTED_VALUE"""),"recommendation")</f>
        <v>recommendation</v>
      </c>
      <c r="G84" s="3" t="str">
        <f>IFERROR(__xludf.DUMMYFUNCTION("""COMPUTED_VALUE"""),"Nós costumamos usar o Jenkins como ferramenta de integração, porque ele é open source, está em tudo quanto é lugar, apesar de ter outras ferramentas que fazem até melhor o trabalho, mas ele está espalhado, ele é muito antigo,")</f>
        <v>Nós costumamos usar o Jenkins como ferramenta de integração, porque ele é open source, está em tudo quanto é lugar, apesar de ter outras ferramentas que fazem até melhor o trabalho, mas ele está espalhado, ele é muito antigo,</v>
      </c>
      <c r="H84" s="3" t="str">
        <f>IFERROR(__xludf.DUMMYFUNCTION("""COMPUTED_VALUE"""),"Use a Continuous Integration tool. in particular, Jenkins is open source and very widespread. ")</f>
        <v>Use a Continuous Integration tool. in particular, Jenkins is open source and very widespread. </v>
      </c>
      <c r="I84" s="2" t="s">
        <v>3449</v>
      </c>
    </row>
    <row r="85">
      <c r="A85" s="50" t="s">
        <v>2956</v>
      </c>
      <c r="B85" s="2">
        <f>IFERROR(__xludf.DUMMYFUNCTION("""COMPUTED_VALUE"""),4.0)</f>
        <v>4</v>
      </c>
      <c r="C85" s="2">
        <f>IFERROR(__xludf.DUMMYFUNCTION("""COMPUTED_VALUE"""),8.0)</f>
        <v>8</v>
      </c>
      <c r="D85" s="2" t="str">
        <f>IFERROR(__xludf.DUMMYFUNCTION("""COMPUTED_VALUE"""),"R1 / R3")</f>
        <v>R1 / R3</v>
      </c>
      <c r="E85" s="2" t="str">
        <f>IFERROR(__xludf.DUMMYFUNCTION("""COMPUTED_VALUE"""),"Tool / Technology")</f>
        <v>Tool / Technology</v>
      </c>
      <c r="F85" s="2" t="str">
        <f>IFERROR(__xludf.DUMMYFUNCTION("""COMPUTED_VALUE"""),"recommendation")</f>
        <v>recommendation</v>
      </c>
      <c r="G85" s="3" t="str">
        <f>IFERROR(__xludf.DUMMYFUNCTION("""COMPUTED_VALUE"""),"o Notion ou o Trello [...], você precisa ter uma ferramenta de duas vias, onde você e o aluno interajam. Não um Gist, por exemplo, porque o Gist, apesar de você conseguir liberar somente, porque o aluno precisa pôr o feedback dele lá também.  [...] Tem al"&amp;"gumas tarefas que a gente monta lá, um post mortem do processo que falha, eu preciso de uma ferramenta de feedback que o aluno também interaja. ")</f>
        <v>o Notion ou o Trello [...], você precisa ter uma ferramenta de duas vias, onde você e o aluno interajam. Não um Gist, por exemplo, porque o Gist, apesar de você conseguir liberar somente, porque o aluno precisa pôr o feedback dele lá também.  [...] Tem algumas tarefas que a gente monta lá, um post mortem do processo que falha, eu preciso de uma ferramenta de feedback que o aluno também interaja. </v>
      </c>
      <c r="H85" s="3" t="str">
        <f>IFERROR(__xludf.DUMMYFUNCTION("""COMPUTED_VALUE"""),"Notion and Trello allow student and teacher interaction in two ways. Gist does not allow it.")</f>
        <v>Notion and Trello allow student and teacher interaction in two ways. Gist does not allow it.</v>
      </c>
      <c r="I85" s="2" t="s">
        <v>3450</v>
      </c>
    </row>
    <row r="86">
      <c r="A86" s="50" t="s">
        <v>2958</v>
      </c>
      <c r="B86" s="2">
        <f>IFERROR(__xludf.DUMMYFUNCTION("""COMPUTED_VALUE"""),4.0)</f>
        <v>4</v>
      </c>
      <c r="C86" s="2">
        <f>IFERROR(__xludf.DUMMYFUNCTION("""COMPUTED_VALUE"""),8.0)</f>
        <v>8</v>
      </c>
      <c r="D86" s="2" t="str">
        <f>IFERROR(__xludf.DUMMYFUNCTION("""COMPUTED_VALUE"""),"R1 / R3")</f>
        <v>R1 / R3</v>
      </c>
      <c r="E86" s="2" t="str">
        <f>IFERROR(__xludf.DUMMYFUNCTION("""COMPUTED_VALUE"""),"Tool / Technology")</f>
        <v>Tool / Technology</v>
      </c>
      <c r="F86" s="2" t="str">
        <f>IFERROR(__xludf.DUMMYFUNCTION("""COMPUTED_VALUE"""),"recommendation")</f>
        <v>recommendation</v>
      </c>
      <c r="G86" s="3" t="str">
        <f>IFERROR(__xludf.DUMMYFUNCTION("""COMPUTED_VALUE"""),"Então, eu costumo recomendar pros instrutores, eu faço e recomendo pros alunos quando eles vão compartilhar comigo. Diminuir a taxa de FPF, de compartilhamento de tela, porque isso é um bloqueio. O zoom usa o que ele pode, se você não limitar. Então, a ge"&amp;"nte limita dez FPS, por exemplo, para que eu não consuma demais a CPU minha, nem do aluno, porque eu tenho que corrigir, às vezes, o exercício do lado dele")</f>
        <v>Então, eu costumo recomendar pros instrutores, eu faço e recomendo pros alunos quando eles vão compartilhar comigo. Diminuir a taxa de FPF, de compartilhamento de tela, porque isso é um bloqueio. O zoom usa o que ele pode, se você não limitar. Então, a gente limita dez FPS, por exemplo, para que eu não consuma demais a CPU minha, nem do aluno, porque eu tenho que corrigir, às vezes, o exercício do lado dele</v>
      </c>
      <c r="H86" s="3" t="str">
        <f>IFERROR(__xludf.DUMMYFUNCTION("""COMPUTED_VALUE"""),"Limit the zoom FPS rate to 10, avoiding excessive student and instructor resource consumption.")</f>
        <v>Limit the zoom FPS rate to 10, avoiding excessive student and instructor resource consumption.</v>
      </c>
      <c r="I86" s="2" t="s">
        <v>3451</v>
      </c>
    </row>
    <row r="87">
      <c r="A87" s="50" t="s">
        <v>2960</v>
      </c>
      <c r="B87" s="2">
        <f>IFERROR(__xludf.DUMMYFUNCTION("""COMPUTED_VALUE"""),4.0)</f>
        <v>4</v>
      </c>
      <c r="C87" s="2">
        <f>IFERROR(__xludf.DUMMYFUNCTION("""COMPUTED_VALUE"""),9.0)</f>
        <v>9</v>
      </c>
      <c r="D87" s="2" t="str">
        <f>IFERROR(__xludf.DUMMYFUNCTION("""COMPUTED_VALUE"""),"R1 / R3")</f>
        <v>R1 / R3</v>
      </c>
      <c r="E87" s="2" t="str">
        <f>IFERROR(__xludf.DUMMYFUNCTION("""COMPUTED_VALUE"""),"Assessment")</f>
        <v>Assessment</v>
      </c>
      <c r="F87" s="2" t="str">
        <f>IFERROR(__xludf.DUMMYFUNCTION("""COMPUTED_VALUE"""),"recommendation")</f>
        <v>recommendation</v>
      </c>
      <c r="G87" s="3" t="str">
        <f>IFERROR(__xludf.DUMMYFUNCTION("""COMPUTED_VALUE"""),"Você precisa observar cada aluno e, e aí, vai, de você ouvir bastante, também, qual que era a dificuldade que ele tinha e aonde ele chegou. Então, aí, a gente faz uma avaliação final por aluno, mas a percepção que a gente teve dele. Se ele foi bem, se ele"&amp;" teve muita dúvida, qual foi o ponto que mais gerou dúvida pra ele? ")</f>
        <v>Você precisa observar cada aluno e, e aí, vai, de você ouvir bastante, também, qual que era a dificuldade que ele tinha e aonde ele chegou. Então, aí, a gente faz uma avaliação final por aluno, mas a percepção que a gente teve dele. Se ele foi bem, se ele teve muita dúvida, qual foi o ponto que mais gerou dúvida pra ele? </v>
      </c>
      <c r="H87" s="3" t="str">
        <f>IFERROR(__xludf.DUMMYFUNCTION("""COMPUTED_VALUE"""),"Individually assess the student's progress throughout the course.")</f>
        <v>Individually assess the student's progress throughout the course.</v>
      </c>
      <c r="I87" s="2" t="s">
        <v>3452</v>
      </c>
    </row>
    <row r="88">
      <c r="A88" s="50" t="s">
        <v>2962</v>
      </c>
      <c r="B88" s="2">
        <f>IFERROR(__xludf.DUMMYFUNCTION("""COMPUTED_VALUE"""),4.0)</f>
        <v>4</v>
      </c>
      <c r="C88" s="2">
        <f>IFERROR(__xludf.DUMMYFUNCTION("""COMPUTED_VALUE"""),9.0)</f>
        <v>9</v>
      </c>
      <c r="D88" s="2" t="str">
        <f>IFERROR(__xludf.DUMMYFUNCTION("""COMPUTED_VALUE"""),"R1 / R3")</f>
        <v>R1 / R3</v>
      </c>
      <c r="E88" s="2" t="str">
        <f>IFERROR(__xludf.DUMMYFUNCTION("""COMPUTED_VALUE"""),"Assessment")</f>
        <v>Assessment</v>
      </c>
      <c r="F88" s="2" t="str">
        <f>IFERROR(__xludf.DUMMYFUNCTION("""COMPUTED_VALUE"""),"recommendation")</f>
        <v>recommendation</v>
      </c>
      <c r="G88" s="3" t="str">
        <f>IFERROR(__xludf.DUMMYFUNCTION("""COMPUTED_VALUE"""),"eles também avaliam o curso no final, a gente manda um link e recomendo que faça isso, faz a avaliação em alguns tópicos pra fazer o NPS, eu acho que o NPS é a métrica universal para avaliação, eu não sei se vocês põe debaixo do coloca debaixo do radar, o"&amp;" Net Promoter Score, partir de zero a dez, sendo zero a zero a sete é Detractor, oito é passivo, nove dez é promoter baseada num set de perguntas, que você não pode induzir o aluno. ")</f>
        <v>eles também avaliam o curso no final, a gente manda um link e recomendo que faça isso, faz a avaliação em alguns tópicos pra fazer o NPS, eu acho que o NPS é a métrica universal para avaliação, eu não sei se vocês põe debaixo do coloca debaixo do radar, o Net Promoter Score, partir de zero a dez, sendo zero a zero a sete é Detractor, oito é passivo, nove dez é promoter baseada num set de perguntas, que você não pode induzir o aluno. </v>
      </c>
      <c r="H88" s="3" t="str">
        <f>IFERROR(__xludf.DUMMYFUNCTION("""COMPUTED_VALUE"""),"Evaluate the course, performing an NPS (Net Promoter Score) with students.")</f>
        <v>Evaluate the course, performing an NPS (Net Promoter Score) with students.</v>
      </c>
      <c r="I88" s="2" t="s">
        <v>3453</v>
      </c>
    </row>
    <row r="89">
      <c r="A89" s="50" t="s">
        <v>2964</v>
      </c>
      <c r="B89" s="2">
        <f>IFERROR(__xludf.DUMMYFUNCTION("""COMPUTED_VALUE"""),4.0)</f>
        <v>4</v>
      </c>
      <c r="C89" s="2">
        <f>IFERROR(__xludf.DUMMYFUNCTION("""COMPUTED_VALUE"""),9.0)</f>
        <v>9</v>
      </c>
      <c r="D89" s="2" t="str">
        <f>IFERROR(__xludf.DUMMYFUNCTION("""COMPUTED_VALUE"""),"R1 / R3")</f>
        <v>R1 / R3</v>
      </c>
      <c r="E89" s="2" t="str">
        <f>IFERROR(__xludf.DUMMYFUNCTION("""COMPUTED_VALUE"""),"Assessment")</f>
        <v>Assessment</v>
      </c>
      <c r="F89" s="2" t="str">
        <f>IFERROR(__xludf.DUMMYFUNCTION("""COMPUTED_VALUE"""),"recommendation")</f>
        <v>recommendation</v>
      </c>
      <c r="G89" s="3" t="str">
        <f>IFERROR(__xludf.DUMMYFUNCTION("""COMPUTED_VALUE"""),"quando o pessoal entra pra fazer esse, essa, esse feedback com os alunos, entender, os alunos falam também com uma pessoa que não sou eu, que no último dia, eu saio, é uma recomendação que eu dou, eu saio da conferência para deixar os alunos à vontade, a "&amp;"conversarem com essa pessoa comete algum deslize durante o treinamento e a pessoa se incomodou e com você lá dentro ela vai ficar um pouco, um pouco com medo de expor apesar de também ser por email.")</f>
        <v>quando o pessoal entra pra fazer esse, essa, esse feedback com os alunos, entender, os alunos falam também com uma pessoa que não sou eu, que no último dia, eu saio, é uma recomendação que eu dou, eu saio da conferência para deixar os alunos à vontade, a conversarem com essa pessoa comete algum deslize durante o treinamento e a pessoa se incomodou e com você lá dentro ela vai ficar um pouco, um pouco com medo de expor apesar de também ser por email.</v>
      </c>
      <c r="H89" s="3" t="str">
        <f>IFERROR(__xludf.DUMMYFUNCTION("""COMPUTED_VALUE"""),"Teachers and monitors must not be present at the time of course evaluation by students.")</f>
        <v>Teachers and monitors must not be present at the time of course evaluation by students.</v>
      </c>
      <c r="I89" s="2" t="s">
        <v>3454</v>
      </c>
    </row>
    <row r="90">
      <c r="A90" s="50" t="s">
        <v>2966</v>
      </c>
      <c r="B90" s="2">
        <f>IFERROR(__xludf.DUMMYFUNCTION("""COMPUTED_VALUE"""),4.0)</f>
        <v>4</v>
      </c>
      <c r="C90" s="2">
        <f>IFERROR(__xludf.DUMMYFUNCTION("""COMPUTED_VALUE"""),9.0)</f>
        <v>9</v>
      </c>
      <c r="D90" s="2" t="str">
        <f>IFERROR(__xludf.DUMMYFUNCTION("""COMPUTED_VALUE"""),"R1 / R3")</f>
        <v>R1 / R3</v>
      </c>
      <c r="E90" s="2" t="str">
        <f>IFERROR(__xludf.DUMMYFUNCTION("""COMPUTED_VALUE"""),"Assessment")</f>
        <v>Assessment</v>
      </c>
      <c r="F90" s="2" t="str">
        <f>IFERROR(__xludf.DUMMYFUNCTION("""COMPUTED_VALUE"""),"recommendation")</f>
        <v>recommendation</v>
      </c>
      <c r="G90" s="3" t="str">
        <f>IFERROR(__xludf.DUMMYFUNCTION("""COMPUTED_VALUE"""),"Se possível gravar, pelo menos, um treinamento para uma autoscopia no final. Vê se você tem algum vício de linguagem, se teve algum processo que não encaixou do jeito que você imaginou, que ia encaixar, porque na hora que você tá falando e fazendo, às vez"&amp;"es, passa um detalhe que não deveria.")</f>
        <v>Se possível gravar, pelo menos, um treinamento para uma autoscopia no final. Vê se você tem algum vício de linguagem, se teve algum processo que não encaixou do jeito que você imaginou, que ia encaixar, porque na hora que você tá falando e fazendo, às vezes, passa um detalhe que não deveria.</v>
      </c>
      <c r="H90" s="3" t="str">
        <f>IFERROR(__xludf.DUMMYFUNCTION("""COMPUTED_VALUE"""),"Gravar um treinamento para que o professor avalie vício de linguagem e se a aula fluiu conforme planejado.")</f>
        <v>Gravar um treinamento para que o professor avalie vício de linguagem e se a aula fluiu conforme planejado.</v>
      </c>
      <c r="I90" s="2" t="s">
        <v>3455</v>
      </c>
    </row>
    <row r="91">
      <c r="A91" s="50" t="s">
        <v>2968</v>
      </c>
      <c r="B91" s="2">
        <f>IFERROR(__xludf.DUMMYFUNCTION("""COMPUTED_VALUE"""),4.0)</f>
        <v>4</v>
      </c>
      <c r="C91" s="2">
        <f>IFERROR(__xludf.DUMMYFUNCTION("""COMPUTED_VALUE"""),10.0)</f>
        <v>10</v>
      </c>
      <c r="D91" s="2" t="str">
        <f>IFERROR(__xludf.DUMMYFUNCTION("""COMPUTED_VALUE"""),"R1 / R3")</f>
        <v>R1 / R3</v>
      </c>
      <c r="E91" s="2" t="str">
        <f>IFERROR(__xludf.DUMMYFUNCTION("""COMPUTED_VALUE"""),"Curriculum")</f>
        <v>Curriculum</v>
      </c>
      <c r="F91" s="2" t="str">
        <f>IFERROR(__xludf.DUMMYFUNCTION("""COMPUTED_VALUE"""),"recommendation")</f>
        <v>recommendation</v>
      </c>
      <c r="G91" s="3" t="str">
        <f>IFERROR(__xludf.DUMMYFUNCTION("""COMPUTED_VALUE"""),"mesclar, teórico e prático [...] é importantíssimo. ")</f>
        <v>mesclar, teórico e prático [...] é importantíssimo. </v>
      </c>
      <c r="H91" s="3" t="str">
        <f>IFERROR(__xludf.DUMMYFUNCTION("""COMPUTED_VALUE"""),"It is essential to mix the teaching of the theoretical part and the practical part of DevOps.")</f>
        <v>It is essential to mix the teaching of the theoretical part and the practical part of DevOps.</v>
      </c>
      <c r="I91" s="2" t="s">
        <v>3456</v>
      </c>
    </row>
    <row r="92">
      <c r="A92" s="50" t="s">
        <v>2970</v>
      </c>
      <c r="B92" s="2">
        <f>IFERROR(__xludf.DUMMYFUNCTION("""COMPUTED_VALUE"""),4.0)</f>
        <v>4</v>
      </c>
      <c r="C92" s="2">
        <f>IFERROR(__xludf.DUMMYFUNCTION("""COMPUTED_VALUE"""),10.0)</f>
        <v>10</v>
      </c>
      <c r="D92" s="2" t="str">
        <f>IFERROR(__xludf.DUMMYFUNCTION("""COMPUTED_VALUE"""),"R1 / R3")</f>
        <v>R1 / R3</v>
      </c>
      <c r="E92" s="2" t="str">
        <f>IFERROR(__xludf.DUMMYFUNCTION("""COMPUTED_VALUE"""),"Curriculum")</f>
        <v>Curriculum</v>
      </c>
      <c r="F92" s="2" t="str">
        <f>IFERROR(__xludf.DUMMYFUNCTION("""COMPUTED_VALUE"""),"recommendation")</f>
        <v>recommendation</v>
      </c>
      <c r="G92" s="3" t="str">
        <f>IFERROR(__xludf.DUMMYFUNCTION("""COMPUTED_VALUE"""),"Falar sobre a cultura é importante, sobre respeitar as individualidades do seu time, entender que não é uma cultura de culpa e nem de, eu não vou implementar DevOps para reduzir o quadro de funcionários. ")</f>
        <v>Falar sobre a cultura é importante, sobre respeitar as individualidades do seu time, entender que não é uma cultura de culpa e nem de, eu não vou implementar DevOps para reduzir o quadro de funcionários. </v>
      </c>
      <c r="H92" s="3" t="str">
        <f>IFERROR(__xludf.DUMMYFUNCTION("""COMPUTED_VALUE"""),"Teach the DevOps culture: respect the individualities of your team, not looking for blame, but for solutions.")</f>
        <v>Teach the DevOps culture: respect the individualities of your team, not looking for blame, but for solutions.</v>
      </c>
      <c r="I92" s="2" t="s">
        <v>3457</v>
      </c>
    </row>
    <row r="93">
      <c r="A93" s="50" t="s">
        <v>2972</v>
      </c>
      <c r="B93" s="2">
        <f>IFERROR(__xludf.DUMMYFUNCTION("""COMPUTED_VALUE"""),4.0)</f>
        <v>4</v>
      </c>
      <c r="C93" s="2">
        <f>IFERROR(__xludf.DUMMYFUNCTION("""COMPUTED_VALUE"""),10.0)</f>
        <v>10</v>
      </c>
      <c r="D93" s="2" t="str">
        <f>IFERROR(__xludf.DUMMYFUNCTION("""COMPUTED_VALUE"""),"R1 / R3")</f>
        <v>R1 / R3</v>
      </c>
      <c r="E93" s="2" t="str">
        <f>IFERROR(__xludf.DUMMYFUNCTION("""COMPUTED_VALUE"""),"Curriculum")</f>
        <v>Curriculum</v>
      </c>
      <c r="F93" s="2" t="str">
        <f>IFERROR(__xludf.DUMMYFUNCTION("""COMPUTED_VALUE"""),"recommendation")</f>
        <v>recommendation</v>
      </c>
      <c r="G93" s="3" t="str">
        <f>IFERROR(__xludf.DUMMYFUNCTION("""COMPUTED_VALUE"""),"precisa-se falar da parte teórica sobre o Lean que é o método da Toyota, Kaisen também é bem importante, Agile que tá muito vinculada ao processo DevOps")</f>
        <v>precisa-se falar da parte teórica sobre o Lean que é o método da Toyota, Kaisen também é bem importante, Agile que tá muito vinculada ao processo DevOps</v>
      </c>
      <c r="H93" s="3" t="str">
        <f>IFERROR(__xludf.DUMMYFUNCTION("""COMPUTED_VALUE"""),"In the theoretical part of DevOps, Lean, Kaisen, and Agile should be taught.")</f>
        <v>In the theoretical part of DevOps, Lean, Kaisen, and Agile should be taught.</v>
      </c>
      <c r="I93" s="2" t="s">
        <v>3458</v>
      </c>
    </row>
    <row r="94">
      <c r="A94" s="50" t="s">
        <v>2974</v>
      </c>
      <c r="B94" s="2">
        <f>IFERROR(__xludf.DUMMYFUNCTION("""COMPUTED_VALUE"""),4.0)</f>
        <v>4</v>
      </c>
      <c r="C94" s="2">
        <f>IFERROR(__xludf.DUMMYFUNCTION("""COMPUTED_VALUE"""),10.0)</f>
        <v>10</v>
      </c>
      <c r="D94" s="2" t="str">
        <f>IFERROR(__xludf.DUMMYFUNCTION("""COMPUTED_VALUE"""),"R1 / R3")</f>
        <v>R1 / R3</v>
      </c>
      <c r="E94" s="2" t="str">
        <f>IFERROR(__xludf.DUMMYFUNCTION("""COMPUTED_VALUE"""),"Curriculum")</f>
        <v>Curriculum</v>
      </c>
      <c r="F94" s="2" t="str">
        <f>IFERROR(__xludf.DUMMYFUNCTION("""COMPUTED_VALUE"""),"recommendation")</f>
        <v>recommendation</v>
      </c>
      <c r="G94" s="3" t="str">
        <f>IFERROR(__xludf.DUMMYFUNCTION("""COMPUTED_VALUE"""),"do que é prático, da ementa, é fazer um software de ponta-a-ponta, [...] Mas, de ponta a ponta, e o final, que é o monitoramento.")</f>
        <v>do que é prático, da ementa, é fazer um software de ponta-a-ponta, [...] Mas, de ponta a ponta, e o final, que é o monitoramento.</v>
      </c>
      <c r="H94" s="3" t="str">
        <f>IFERROR(__xludf.DUMMYFUNCTION("""COMPUTED_VALUE"""),"Make software from start to finish, going through the DevOps steps to the monitoring step.")</f>
        <v>Make software from start to finish, going through the DevOps steps to the monitoring step.</v>
      </c>
      <c r="I94" s="2" t="s">
        <v>3459</v>
      </c>
    </row>
    <row r="95">
      <c r="A95" s="50" t="s">
        <v>2975</v>
      </c>
      <c r="B95" s="2">
        <f>IFERROR(__xludf.DUMMYFUNCTION("""COMPUTED_VALUE"""),4.0)</f>
        <v>4</v>
      </c>
      <c r="C95" s="2">
        <f>IFERROR(__xludf.DUMMYFUNCTION("""COMPUTED_VALUE"""),10.0)</f>
        <v>10</v>
      </c>
      <c r="D95" s="2" t="str">
        <f>IFERROR(__xludf.DUMMYFUNCTION("""COMPUTED_VALUE"""),"R1 / R3")</f>
        <v>R1 / R3</v>
      </c>
      <c r="E95" s="2" t="str">
        <f>IFERROR(__xludf.DUMMYFUNCTION("""COMPUTED_VALUE"""),"Curriculum")</f>
        <v>Curriculum</v>
      </c>
      <c r="F95" s="2" t="str">
        <f>IFERROR(__xludf.DUMMYFUNCTION("""COMPUTED_VALUE"""),"recommendation")</f>
        <v>recommendation</v>
      </c>
      <c r="G95" s="3" t="str">
        <f>IFERROR(__xludf.DUMMYFUNCTION("""COMPUTED_VALUE"""),"o software [...] fazer o build com o Jenkins ")</f>
        <v>o software [...] fazer o build com o Jenkins </v>
      </c>
      <c r="H95" s="3" t="str">
        <f>IFERROR(__xludf.DUMMYFUNCTION("""COMPUTED_VALUE"""),"Use Jenkins to do continuous integration.")</f>
        <v>Use Jenkins to do continuous integration.</v>
      </c>
      <c r="I95" s="2" t="s">
        <v>3460</v>
      </c>
    </row>
    <row r="96">
      <c r="A96" s="50" t="s">
        <v>2977</v>
      </c>
      <c r="B96" s="2">
        <f>IFERROR(__xludf.DUMMYFUNCTION("""COMPUTED_VALUE"""),4.0)</f>
        <v>4</v>
      </c>
      <c r="C96" s="2">
        <f>IFERROR(__xludf.DUMMYFUNCTION("""COMPUTED_VALUE"""),10.0)</f>
        <v>10</v>
      </c>
      <c r="D96" s="2" t="str">
        <f>IFERROR(__xludf.DUMMYFUNCTION("""COMPUTED_VALUE"""),"R1 / R3")</f>
        <v>R1 / R3</v>
      </c>
      <c r="E96" s="2" t="str">
        <f>IFERROR(__xludf.DUMMYFUNCTION("""COMPUTED_VALUE"""),"Curriculum")</f>
        <v>Curriculum</v>
      </c>
      <c r="F96" s="2" t="str">
        <f>IFERROR(__xludf.DUMMYFUNCTION("""COMPUTED_VALUE"""),"recommendation")</f>
        <v>recommendation</v>
      </c>
      <c r="G96" s="3" t="str">
        <f>IFERROR(__xludf.DUMMYFUNCTION("""COMPUTED_VALUE"""),"build do software [...]  entregar isso numa VM, de alguma maneira, da melhor maneira que você entenda, que é possível na sua suíte [...] Você pode entregar com o Docker")</f>
        <v>build do software [...]  entregar isso numa VM, de alguma maneira, da melhor maneira que você entenda, que é possível na sua suíte [...] Você pode entregar com o Docker</v>
      </c>
      <c r="H96" s="3" t="str">
        <f>IFERROR(__xludf.DUMMYFUNCTION("""COMPUTED_VALUE"""),"Perform continuous delivery through virtual machines or with Docker.")</f>
        <v>Perform continuous delivery through virtual machines or with Docker.</v>
      </c>
      <c r="I96" s="2" t="s">
        <v>3461</v>
      </c>
    </row>
    <row r="97">
      <c r="A97" s="50" t="s">
        <v>2978</v>
      </c>
      <c r="B97" s="2">
        <f>IFERROR(__xludf.DUMMYFUNCTION("""COMPUTED_VALUE"""),4.0)</f>
        <v>4</v>
      </c>
      <c r="C97" s="2">
        <f>IFERROR(__xludf.DUMMYFUNCTION("""COMPUTED_VALUE"""),10.0)</f>
        <v>10</v>
      </c>
      <c r="D97" s="2" t="str">
        <f>IFERROR(__xludf.DUMMYFUNCTION("""COMPUTED_VALUE"""),"R1 / R3")</f>
        <v>R1 / R3</v>
      </c>
      <c r="E97" s="2" t="str">
        <f>IFERROR(__xludf.DUMMYFUNCTION("""COMPUTED_VALUE"""),"Curriculum")</f>
        <v>Curriculum</v>
      </c>
      <c r="F97" s="2" t="str">
        <f>IFERROR(__xludf.DUMMYFUNCTION("""COMPUTED_VALUE"""),"recommendation")</f>
        <v>recommendation</v>
      </c>
      <c r="G97" s="3" t="str">
        <f>IFERROR(__xludf.DUMMYFUNCTION("""COMPUTED_VALUE"""),"o software [...] uma ferramenta de monitoramento, no final, pra pra você olhar. [...] Olhar um Grafana, por exemplo, com o Prometheus, que é um software mais free, assim.")</f>
        <v>o software [...] uma ferramenta de monitoramento, no final, pra pra você olhar. [...] Olhar um Grafana, por exemplo, com o Prometheus, que é um software mais free, assim.</v>
      </c>
      <c r="H97" s="3" t="str">
        <f>IFERROR(__xludf.DUMMYFUNCTION("""COMPUTED_VALUE"""),"Use Grafana and Prometheus as monitoring tools.")</f>
        <v>Use Grafana and Prometheus as monitoring tools.</v>
      </c>
      <c r="I97" s="2" t="s">
        <v>3462</v>
      </c>
    </row>
    <row r="98">
      <c r="A98" s="50" t="s">
        <v>2979</v>
      </c>
      <c r="B98" s="2">
        <f>IFERROR(__xludf.DUMMYFUNCTION("""COMPUTED_VALUE"""),4.0)</f>
        <v>4</v>
      </c>
      <c r="C98" s="2">
        <f>IFERROR(__xludf.DUMMYFUNCTION("""COMPUTED_VALUE"""),10.0)</f>
        <v>10</v>
      </c>
      <c r="D98" s="2" t="str">
        <f>IFERROR(__xludf.DUMMYFUNCTION("""COMPUTED_VALUE"""),"R1 / R3")</f>
        <v>R1 / R3</v>
      </c>
      <c r="E98" s="2" t="str">
        <f>IFERROR(__xludf.DUMMYFUNCTION("""COMPUTED_VALUE"""),"Curriculum")</f>
        <v>Curriculum</v>
      </c>
      <c r="F98" s="2" t="str">
        <f>IFERROR(__xludf.DUMMYFUNCTION("""COMPUTED_VALUE"""),"recommendation")</f>
        <v>recommendation</v>
      </c>
      <c r="G98" s="3" t="str">
        <f>IFERROR(__xludf.DUMMYFUNCTION("""COMPUTED_VALUE"""),"da ementa, é fazer um software de ponta-a-ponta, entender o software na sua concepção. A gente já entrega pro aluno isso meio que pronto, né? Porque a gente não vai criar um software do zero, porque o código já tá meio que lapidado, é um código de um fóru"&amp;"m em Java, onde a gente tem algumas características que dependem da máquina para fazer o build, então nós vamos desacoplar. ")</f>
        <v>da ementa, é fazer um software de ponta-a-ponta, entender o software na sua concepção. A gente já entrega pro aluno isso meio que pronto, né? Porque a gente não vai criar um software do zero, porque o código já tá meio que lapidado, é um código de um fórum em Java, onde a gente tem algumas características que dependem da máquina para fazer o build, então nós vamos desacoplar. </v>
      </c>
      <c r="H98" s="3" t="str">
        <f>IFERROR(__xludf.DUMMYFUNCTION("""COMPUTED_VALUE"""),"Use a complete example project from places such as a java discussion forum.")</f>
        <v>Use a complete example project from places such as a java discussion forum.</v>
      </c>
      <c r="I98" s="2" t="s">
        <v>3463</v>
      </c>
    </row>
    <row r="99">
      <c r="A99" s="50" t="s">
        <v>2981</v>
      </c>
      <c r="B99" s="2">
        <f>IFERROR(__xludf.DUMMYFUNCTION("""COMPUTED_VALUE"""),4.0)</f>
        <v>4</v>
      </c>
      <c r="C99" s="2">
        <f>IFERROR(__xludf.DUMMYFUNCTION("""COMPUTED_VALUE"""),10.0)</f>
        <v>10</v>
      </c>
      <c r="D99" s="2" t="str">
        <f>IFERROR(__xludf.DUMMYFUNCTION("""COMPUTED_VALUE"""),"R1 / R3")</f>
        <v>R1 / R3</v>
      </c>
      <c r="E99" s="2" t="str">
        <f>IFERROR(__xludf.DUMMYFUNCTION("""COMPUTED_VALUE"""),"Curriculum")</f>
        <v>Curriculum</v>
      </c>
      <c r="F99" s="2" t="str">
        <f>IFERROR(__xludf.DUMMYFUNCTION("""COMPUTED_VALUE"""),"recommendation")</f>
        <v>recommendation</v>
      </c>
      <c r="G99" s="3" t="str">
        <f>IFERROR(__xludf.DUMMYFUNCTION("""COMPUTED_VALUE"""),"Então, primeira coisa, desacoplar a conexão com o banco que está versionada no código fonte. Pode continuar versionado as String os apesar de não ser a melhor prática, mas você não tem que comentar o código pra trocar o ambiente, porque o TomCat quem vai "&amp;"ler isso daí. Versionar num git, usar uma integração contínua como o Jenkins, por exemplo, e um deploy contínuo, um delivery contínuo com, pode ser com um Ansible, pode ser com qualquer ferramenta que você entregue ou numa VM ou na Cloud. ")</f>
        <v>Então, primeira coisa, desacoplar a conexão com o banco que está versionada no código fonte. Pode continuar versionado as String os apesar de não ser a melhor prática, mas você não tem que comentar o código pra trocar o ambiente, porque o TomCat quem vai ler isso daí. Versionar num git, usar uma integração contínua como o Jenkins, por exemplo, e um deploy contínuo, um delivery contínuo com, pode ser com um Ansible, pode ser com qualquer ferramenta que você entregue ou numa VM ou na Cloud. </v>
      </c>
      <c r="H99" s="3" t="str">
        <f>IFERROR(__xludf.DUMMYFUNCTION("""COMPUTED_VALUE"""),"Carry out the following practical activities during the course: the first step is to decouple the database connection from the system code, then version the code with Git, insert continuous integration with Jenkins, and finish with constant delivery using"&amp;" public cloud services or tools with Ansible.")</f>
        <v>Carry out the following practical activities during the course: the first step is to decouple the database connection from the system code, then version the code with Git, insert continuous integration with Jenkins, and finish with constant delivery using public cloud services or tools with Ansible.</v>
      </c>
      <c r="I99" s="2" t="s">
        <v>3464</v>
      </c>
    </row>
    <row r="100">
      <c r="A100" s="50" t="s">
        <v>2982</v>
      </c>
      <c r="B100" s="2">
        <f>IFERROR(__xludf.DUMMYFUNCTION("""COMPUTED_VALUE"""),4.0)</f>
        <v>4</v>
      </c>
      <c r="C100" s="2">
        <f>IFERROR(__xludf.DUMMYFUNCTION("""COMPUTED_VALUE"""),11.0)</f>
        <v>11</v>
      </c>
      <c r="D100" s="2" t="str">
        <f>IFERROR(__xludf.DUMMYFUNCTION("""COMPUTED_VALUE"""),"R1 / R2")</f>
        <v>R1 / R2</v>
      </c>
      <c r="E100" s="2" t="str">
        <f>IFERROR(__xludf.DUMMYFUNCTION("""COMPUTED_VALUE"""),"Pedagogy")</f>
        <v>Pedagogy</v>
      </c>
      <c r="F100" s="2" t="str">
        <f>IFERROR(__xludf.DUMMYFUNCTION("""COMPUTED_VALUE"""),"recommendation")</f>
        <v>recommendation</v>
      </c>
      <c r="G100" s="3" t="str">
        <f>IFERROR(__xludf.DUMMYFUNCTION("""COMPUTED_VALUE"""),"a gente precisa se adaptar ao ambiente e tentar, a cada vinte a trinta minutos, interagir com o aluno, para que ele faça algo para manter a atenção dele [...] Sempre propor os desafios")</f>
        <v>a gente precisa se adaptar ao ambiente e tentar, a cada vinte a trinta minutos, interagir com o aluno, para que ele faça algo para manter a atenção dele [...] Sempre propor os desafios</v>
      </c>
      <c r="H100" s="3" t="str">
        <f>IFERROR(__xludf.DUMMYFUNCTION("""COMPUTED_VALUE"""),"Interact with the student to keep him alert, proposing challenges, for example.")</f>
        <v>Interact with the student to keep him alert, proposing challenges, for example.</v>
      </c>
      <c r="I100" s="2" t="s">
        <v>3465</v>
      </c>
    </row>
    <row r="101">
      <c r="A101" s="50" t="s">
        <v>2984</v>
      </c>
      <c r="B101" s="2">
        <f>IFERROR(__xludf.DUMMYFUNCTION("""COMPUTED_VALUE"""),4.0)</f>
        <v>4</v>
      </c>
      <c r="C101" s="2">
        <f>IFERROR(__xludf.DUMMYFUNCTION("""COMPUTED_VALUE"""),11.0)</f>
        <v>11</v>
      </c>
      <c r="D101" s="2" t="str">
        <f>IFERROR(__xludf.DUMMYFUNCTION("""COMPUTED_VALUE"""),"R1 / R2")</f>
        <v>R1 / R2</v>
      </c>
      <c r="E101" s="2" t="str">
        <f>IFERROR(__xludf.DUMMYFUNCTION("""COMPUTED_VALUE"""),"Pedagogy")</f>
        <v>Pedagogy</v>
      </c>
      <c r="F101" s="2" t="str">
        <f>IFERROR(__xludf.DUMMYFUNCTION("""COMPUTED_VALUE"""),"recommendation")</f>
        <v>recommendation</v>
      </c>
      <c r="G101" s="3" t="str">
        <f>IFERROR(__xludf.DUMMYFUNCTION("""COMPUTED_VALUE"""),"deixar bem claro, pedagogicamente, que eu acho que envolve você uma boa configuração de som pro que o aluno te ouça bem, sempre com a câmera aberta, mesmo que o aluno não abre, porque ele não pode, mas que ele te veja, que ele sinta essa aproximação dentr"&amp;"o do possível. ")</f>
        <v>deixar bem claro, pedagogicamente, que eu acho que envolve você uma boa configuração de som pro que o aluno te ouça bem, sempre com a câmera aberta, mesmo que o aluno não abre, porque ele não pode, mas que ele te veja, que ele sinta essa aproximação dentro do possível. </v>
      </c>
      <c r="H101" s="3" t="str">
        <f>IFERROR(__xludf.DUMMYFUNCTION("""COMPUTED_VALUE"""),"Provide a comfortable learning environment for the student, such as remote teaching, which requires adequate audio and video equipment.")</f>
        <v>Provide a comfortable learning environment for the student, such as remote teaching, which requires adequate audio and video equipment.</v>
      </c>
      <c r="I101" s="2" t="s">
        <v>3466</v>
      </c>
    </row>
    <row r="102">
      <c r="A102" s="50" t="s">
        <v>2985</v>
      </c>
      <c r="B102" s="2">
        <f>IFERROR(__xludf.DUMMYFUNCTION("""COMPUTED_VALUE"""),4.0)</f>
        <v>4</v>
      </c>
      <c r="C102" s="2">
        <f>IFERROR(__xludf.DUMMYFUNCTION("""COMPUTED_VALUE"""),11.0)</f>
        <v>11</v>
      </c>
      <c r="D102" s="2" t="str">
        <f>IFERROR(__xludf.DUMMYFUNCTION("""COMPUTED_VALUE"""),"R1 / R2")</f>
        <v>R1 / R2</v>
      </c>
      <c r="E102" s="2" t="str">
        <f>IFERROR(__xludf.DUMMYFUNCTION("""COMPUTED_VALUE"""),"Pedagogy")</f>
        <v>Pedagogy</v>
      </c>
      <c r="F102" s="2" t="str">
        <f>IFERROR(__xludf.DUMMYFUNCTION("""COMPUTED_VALUE"""),"recommendation")</f>
        <v>recommendation</v>
      </c>
      <c r="G102" s="3" t="str">
        <f>IFERROR(__xludf.DUMMYFUNCTION("""COMPUTED_VALUE"""),"dentro da ementa, tentar evitar deixar o aluno dependente daquela stack que você está ensinando. Então, se você vai explicar Jenkins, tire meia hora pra explicar o pipeline em outra ferramenta, pra ele ver que aquilo é possível. Pra que ele não saia com a"&amp;" receita pronta. Por mais que a gente não entregue, o aluno cria na cabeça dele uma receita e ela não vai se encaixar em todos os no dia a dia dele. Daí vai gerar frustração. Então, deixe claro, olha, tá vendo isso que a gente tá fazendo? Estamos fazendo "&amp;"por esse motivo, no Jenkins. Hoje a gente vai usar o Bitbucket, por exemplo, que é dessa maneira que a gente faz. Uma, como exemplo, né?")</f>
        <v>dentro da ementa, tentar evitar deixar o aluno dependente daquela stack que você está ensinando. Então, se você vai explicar Jenkins, tire meia hora pra explicar o pipeline em outra ferramenta, pra ele ver que aquilo é possível. Pra que ele não saia com a receita pronta. Por mais que a gente não entregue, o aluno cria na cabeça dele uma receita e ela não vai se encaixar em todos os no dia a dia dele. Daí vai gerar frustração. Então, deixe claro, olha, tá vendo isso que a gente tá fazendo? Estamos fazendo por esse motivo, no Jenkins. Hoje a gente vai usar o Bitbucket, por exemplo, que é dessa maneira que a gente faz. Uma, como exemplo, né?</v>
      </c>
      <c r="H102" s="3" t="str">
        <f>IFERROR(__xludf.DUMMYFUNCTION("""COMPUTED_VALUE"""),"Show the student that there are several ways and tools to do the task.")</f>
        <v>Show the student that there are several ways and tools to do the task.</v>
      </c>
      <c r="I102" s="2" t="s">
        <v>3467</v>
      </c>
    </row>
    <row r="103">
      <c r="A103" s="50" t="s">
        <v>2987</v>
      </c>
      <c r="B103" s="2">
        <f>IFERROR(__xludf.DUMMYFUNCTION("""COMPUTED_VALUE"""),5.0)</f>
        <v>5</v>
      </c>
      <c r="C103" s="2">
        <f>IFERROR(__xludf.DUMMYFUNCTION("""COMPUTED_VALUE"""),1.0)</f>
        <v>1</v>
      </c>
      <c r="D103" s="2" t="str">
        <f>IFERROR(__xludf.DUMMYFUNCTION("""COMPUTED_VALUE"""),"R1 / R2")</f>
        <v>R1 / R2</v>
      </c>
      <c r="E103" s="2" t="str">
        <f>IFERROR(__xludf.DUMMYFUNCTION("""COMPUTED_VALUE"""),"General Challenges and Recommendations")</f>
        <v>General Challenges and Recommendations</v>
      </c>
      <c r="F103" s="2" t="str">
        <f>IFERROR(__xludf.DUMMYFUNCTION("""COMPUTED_VALUE"""),"recommendation")</f>
        <v>recommendation</v>
      </c>
      <c r="G103" s="3" t="str">
        <f>IFERROR(__xludf.DUMMYFUNCTION("""COMPUTED_VALUE"""),"se você vai dar uma aula de build de software, por exemplo, ou de teste unitário você precisa assumir que a sua turma, você precisa assumir que a sua turma tá num certo local, vamos dizer assim. Você precisa assumir que a sua turma é composta por desenvol"&amp;"vedores, tem um pouquinho de conhecimento e tal, ou você precisa partir do princípio que a sua turma não tem tanta experiência assim. ")</f>
        <v>se você vai dar uma aula de build de software, por exemplo, ou de teste unitário você precisa assumir que a sua turma, você precisa assumir que a sua turma tá num certo local, vamos dizer assim. Você precisa assumir que a sua turma é composta por desenvolvedores, tem um pouquinho de conhecimento e tal, ou você precisa partir do princípio que a sua turma não tem tanta experiência assim. </v>
      </c>
      <c r="H103" s="3" t="str">
        <f>IFERROR(__xludf.DUMMYFUNCTION("""COMPUTED_VALUE"""),"Identify the students' initial level of knowledge to do the course. For example, check if students can run unit tests that will be used in the software build class.")</f>
        <v>Identify the students' initial level of knowledge to do the course. For example, check if students can run unit tests that will be used in the software build class.</v>
      </c>
      <c r="I103" s="2" t="s">
        <v>3468</v>
      </c>
    </row>
    <row r="104">
      <c r="A104" s="50" t="s">
        <v>2989</v>
      </c>
      <c r="B104" s="2">
        <f>IFERROR(__xludf.DUMMYFUNCTION("""COMPUTED_VALUE"""),5.0)</f>
        <v>5</v>
      </c>
      <c r="C104" s="2">
        <f>IFERROR(__xludf.DUMMYFUNCTION("""COMPUTED_VALUE"""),2.0)</f>
        <v>2</v>
      </c>
      <c r="D104" s="2" t="str">
        <f>IFERROR(__xludf.DUMMYFUNCTION("""COMPUTED_VALUE"""),"R2 / R3")</f>
        <v>R2 / R3</v>
      </c>
      <c r="E104" s="2" t="str">
        <f>IFERROR(__xludf.DUMMYFUNCTION("""COMPUTED_VALUE"""),"General Challenges and Recommendations")</f>
        <v>General Challenges and Recommendations</v>
      </c>
      <c r="F104" s="2" t="str">
        <f>IFERROR(__xludf.DUMMYFUNCTION("""COMPUTED_VALUE"""),"recommendation")</f>
        <v>recommendation</v>
      </c>
      <c r="G104" s="3" t="str">
        <f>IFERROR(__xludf.DUMMYFUNCTION("""COMPUTED_VALUE"""),"eu não consigo enxergar uma disciplina, um ensino de DevOps que não seja hands-on [...] Que não seja botando a mão na massa e fazendo as pessoas pelo menos exercitarem as ferramentas.")</f>
        <v>eu não consigo enxergar uma disciplina, um ensino de DevOps que não seja hands-on [...] Que não seja botando a mão na massa e fazendo as pessoas pelo menos exercitarem as ferramentas.</v>
      </c>
      <c r="H104" s="3" t="str">
        <f>IFERROR(__xludf.DUMMYFUNCTION("""COMPUTED_VALUE"""),"DevOps disciplines should use hands-on activities.")</f>
        <v>DevOps disciplines should use hands-on activities.</v>
      </c>
      <c r="I104" s="2" t="s">
        <v>3469</v>
      </c>
    </row>
    <row r="105">
      <c r="A105" s="50" t="s">
        <v>2991</v>
      </c>
      <c r="B105" s="2">
        <f>IFERROR(__xludf.DUMMYFUNCTION("""COMPUTED_VALUE"""),5.0)</f>
        <v>5</v>
      </c>
      <c r="C105" s="2">
        <f>IFERROR(__xludf.DUMMYFUNCTION("""COMPUTED_VALUE"""),2.0)</f>
        <v>2</v>
      </c>
      <c r="D105" s="2" t="str">
        <f>IFERROR(__xludf.DUMMYFUNCTION("""COMPUTED_VALUE"""),"R2 / R3")</f>
        <v>R2 / R3</v>
      </c>
      <c r="E105" s="2" t="str">
        <f>IFERROR(__xludf.DUMMYFUNCTION("""COMPUTED_VALUE"""),"General Challenges and Recommendations")</f>
        <v>General Challenges and Recommendations</v>
      </c>
      <c r="F105" s="2" t="str">
        <f>IFERROR(__xludf.DUMMYFUNCTION("""COMPUTED_VALUE"""),"recommendation")</f>
        <v>recommendation</v>
      </c>
      <c r="G105" s="3" t="str">
        <f>IFERROR(__xludf.DUMMYFUNCTION("""COMPUTED_VALUE"""),"eu peço pros alunos implementarem um sisteminha muito simples, que ele vai servir pra disciplina inteira. Nesse sisteminha, a gente vai ter teste, vai ter build, vai ter integração contínua, vai ter deployment, sabe?")</f>
        <v>eu peço pros alunos implementarem um sisteminha muito simples, que ele vai servir pra disciplina inteira. Nesse sisteminha, a gente vai ter teste, vai ter build, vai ter integração contínua, vai ter deployment, sabe?</v>
      </c>
      <c r="H105" s="3" t="str">
        <f>IFERROR(__xludf.DUMMYFUNCTION("""COMPUTED_VALUE"""),"Use a simple example system made by students.")</f>
        <v>Use a simple example system made by students.</v>
      </c>
      <c r="I105" s="2" t="s">
        <v>3470</v>
      </c>
    </row>
    <row r="106">
      <c r="A106" s="50" t="s">
        <v>2993</v>
      </c>
      <c r="B106" s="2">
        <f>IFERROR(__xludf.DUMMYFUNCTION("""COMPUTED_VALUE"""),5.0)</f>
        <v>5</v>
      </c>
      <c r="C106" s="2">
        <f>IFERROR(__xludf.DUMMYFUNCTION("""COMPUTED_VALUE"""),2.0)</f>
        <v>2</v>
      </c>
      <c r="D106" s="2" t="str">
        <f>IFERROR(__xludf.DUMMYFUNCTION("""COMPUTED_VALUE"""),"R2 / R3")</f>
        <v>R2 / R3</v>
      </c>
      <c r="E106" s="2" t="str">
        <f>IFERROR(__xludf.DUMMYFUNCTION("""COMPUTED_VALUE"""),"General Challenges and Recommendations")</f>
        <v>General Challenges and Recommendations</v>
      </c>
      <c r="F106" s="2" t="str">
        <f>IFERROR(__xludf.DUMMYFUNCTION("""COMPUTED_VALUE"""),"recommendation")</f>
        <v>recommendation</v>
      </c>
      <c r="G106" s="3" t="str">
        <f>IFERROR(__xludf.DUMMYFUNCTION("""COMPUTED_VALUE"""),"O ponto é tentar exercitar o máximo de ferramentas possíveis para prover para todo mundo  [...] uma gama de coisas que você pode aplicar no seu dia a dia quando você vê a necessidade. ")</f>
        <v>O ponto é tentar exercitar o máximo de ferramentas possíveis para prover para todo mundo  [...] uma gama de coisas que você pode aplicar no seu dia a dia quando você vê a necessidade. </v>
      </c>
      <c r="H106" s="3" t="str">
        <f>IFERROR(__xludf.DUMMYFUNCTION("""COMPUTED_VALUE"""),"Exercise as many tools as possible.")</f>
        <v>Exercise as many tools as possible.</v>
      </c>
      <c r="I106" s="2" t="s">
        <v>3471</v>
      </c>
    </row>
    <row r="107">
      <c r="A107" s="50" t="s">
        <v>2995</v>
      </c>
      <c r="B107" s="2">
        <f>IFERROR(__xludf.DUMMYFUNCTION("""COMPUTED_VALUE"""),5.0)</f>
        <v>5</v>
      </c>
      <c r="C107" s="2">
        <f>IFERROR(__xludf.DUMMYFUNCTION("""COMPUTED_VALUE"""),3.0)</f>
        <v>3</v>
      </c>
      <c r="D107" s="2" t="str">
        <f>IFERROR(__xludf.DUMMYFUNCTION("""COMPUTED_VALUE"""),"R1 / R3")</f>
        <v>R1 / R3</v>
      </c>
      <c r="E107" s="2" t="str">
        <f>IFERROR(__xludf.DUMMYFUNCTION("""COMPUTED_VALUE"""),"General Challenges and Recommendations")</f>
        <v>General Challenges and Recommendations</v>
      </c>
      <c r="F107" s="2" t="str">
        <f>IFERROR(__xludf.DUMMYFUNCTION("""COMPUTED_VALUE"""),"recommendation")</f>
        <v>recommendation</v>
      </c>
      <c r="G107" s="3" t="str">
        <f>IFERROR(__xludf.DUMMYFUNCTION("""COMPUTED_VALUE"""),"porque você tem que tá com a mentalidade que você vai ter que pegar materiais de diversas fontes diferentes, né? ... você vai ter que recorrer à literatura cinza, né, que é essa literatura de blog, do médium, o blogue do Nubank ou do Netflix, que são arti"&amp;"gos sensacionais, mas que não tem aquele rigor científico, de revisão de pares e tal. Então, assim, eu acho que o professor de DevOps, ele precisa entender que ele tá nesse ambiente, né?")</f>
        <v>porque você tem que tá com a mentalidade que você vai ter que pegar materiais de diversas fontes diferentes, né? ... você vai ter que recorrer à literatura cinza, né, que é essa literatura de blog, do médium, o blogue do Nubank ou do Netflix, que são artigos sensacionais, mas que não tem aquele rigor científico, de revisão de pares e tal. Então, assim, eu acho que o professor de DevOps, ele precisa entender que ele tá nesse ambiente, né?</v>
      </c>
      <c r="H107" s="3" t="str">
        <f>IFERROR(__xludf.DUMMYFUNCTION("""COMPUTED_VALUE"""),"Use various sources of DevOps study materials, such as gray literature, blog (medium, Nubank, Netflix).")</f>
        <v>Use various sources of DevOps study materials, such as gray literature, blog (medium, Nubank, Netflix).</v>
      </c>
      <c r="I107" s="2" t="s">
        <v>3472</v>
      </c>
    </row>
    <row r="108">
      <c r="A108" s="50" t="s">
        <v>2997</v>
      </c>
      <c r="B108" s="2">
        <f>IFERROR(__xludf.DUMMYFUNCTION("""COMPUTED_VALUE"""),5.0)</f>
        <v>5</v>
      </c>
      <c r="C108" s="2">
        <f>IFERROR(__xludf.DUMMYFUNCTION("""COMPUTED_VALUE"""),4.0)</f>
        <v>4</v>
      </c>
      <c r="D108" s="2" t="str">
        <f>IFERROR(__xludf.DUMMYFUNCTION("""COMPUTED_VALUE"""),"R1 / R3")</f>
        <v>R1 / R3</v>
      </c>
      <c r="E108" s="2" t="str">
        <f>IFERROR(__xludf.DUMMYFUNCTION("""COMPUTED_VALUE"""),"General Challenges and Recommendations")</f>
        <v>General Challenges and Recommendations</v>
      </c>
      <c r="F108" s="2" t="str">
        <f>IFERROR(__xludf.DUMMYFUNCTION("""COMPUTED_VALUE"""),"recommendation")</f>
        <v>recommendation</v>
      </c>
      <c r="G108" s="3" t="str">
        <f>IFERROR(__xludf.DUMMYFUNCTION("""COMPUTED_VALUE"""),"Essa parte do sistema, que eu peço pra eles fazerem para acompanhar a disciplina, [...] Eu tô pensando seriamente na ideia de simplesmente de dar um sistema pra eles")</f>
        <v>Essa parte do sistema, que eu peço pra eles fazerem para acompanhar a disciplina, [...] Eu tô pensando seriamente na ideia de simplesmente de dar um sistema pra eles</v>
      </c>
      <c r="H108" s="3" t="str">
        <f>IFERROR(__xludf.DUMMYFUNCTION("""COMPUTED_VALUE"""),"Deliver a ready-made sample system for students to use.")</f>
        <v>Deliver a ready-made sample system for students to use.</v>
      </c>
      <c r="I108" s="2" t="s">
        <v>3473</v>
      </c>
    </row>
    <row r="109">
      <c r="A109" s="50" t="s">
        <v>2999</v>
      </c>
      <c r="B109" s="2">
        <f>IFERROR(__xludf.DUMMYFUNCTION("""COMPUTED_VALUE"""),5.0)</f>
        <v>5</v>
      </c>
      <c r="C109" s="2">
        <f>IFERROR(__xludf.DUMMYFUNCTION("""COMPUTED_VALUE"""),4.0)</f>
        <v>4</v>
      </c>
      <c r="D109" s="2" t="str">
        <f>IFERROR(__xludf.DUMMYFUNCTION("""COMPUTED_VALUE"""),"R1 / R3")</f>
        <v>R1 / R3</v>
      </c>
      <c r="E109" s="2" t="str">
        <f>IFERROR(__xludf.DUMMYFUNCTION("""COMPUTED_VALUE"""),"General Challenges and Recommendations")</f>
        <v>General Challenges and Recommendations</v>
      </c>
      <c r="F109" s="2" t="str">
        <f>IFERROR(__xludf.DUMMYFUNCTION("""COMPUTED_VALUE"""),"recommendation")</f>
        <v>recommendation</v>
      </c>
      <c r="G109" s="3" t="str">
        <f>IFERROR(__xludf.DUMMYFUNCTION("""COMPUTED_VALUE"""),"Essa parte do sistema, que eu peço pra eles fazerem para acompanhar a disciplina [...] Quando você vai configurar as ferramentas e tal, como você foi quem desenvolveu o sistema, fica mais fácil, acredito eu de você entender todas as automações e tal, mas "&amp;"ao mesmo tempo eu vejo que a galera tem muita dificuldade em fazer.")</f>
        <v>Essa parte do sistema, que eu peço pra eles fazerem para acompanhar a disciplina [...] Quando você vai configurar as ferramentas e tal, como você foi quem desenvolveu o sistema, fica mais fácil, acredito eu de você entender todas as automações e tal, mas ao mesmo tempo eu vejo que a galera tem muita dificuldade em fazer.</v>
      </c>
      <c r="H109" s="3" t="str">
        <f>IFERROR(__xludf.DUMMYFUNCTION("""COMPUTED_VALUE"""),"Students build their own systems during the course in order to increase their understanding of automation.")</f>
        <v>Students build their own systems during the course in order to increase their understanding of automation.</v>
      </c>
      <c r="I109" s="2" t="s">
        <v>3474</v>
      </c>
    </row>
    <row r="110">
      <c r="A110" s="50" t="s">
        <v>3000</v>
      </c>
      <c r="B110" s="2">
        <f>IFERROR(__xludf.DUMMYFUNCTION("""COMPUTED_VALUE"""),5.0)</f>
        <v>5</v>
      </c>
      <c r="C110" s="2">
        <f>IFERROR(__xludf.DUMMYFUNCTION("""COMPUTED_VALUE"""),5.0)</f>
        <v>5</v>
      </c>
      <c r="D110" s="2" t="str">
        <f>IFERROR(__xludf.DUMMYFUNCTION("""COMPUTED_VALUE"""),"R1 / R3")</f>
        <v>R1 / R3</v>
      </c>
      <c r="E110" s="2" t="str">
        <f>IFERROR(__xludf.DUMMYFUNCTION("""COMPUTED_VALUE"""),"General Challenges and Recommendations")</f>
        <v>General Challenges and Recommendations</v>
      </c>
      <c r="F110" s="2" t="str">
        <f>IFERROR(__xludf.DUMMYFUNCTION("""COMPUTED_VALUE"""),"recommendation")</f>
        <v>recommendation</v>
      </c>
      <c r="G110" s="3" t="str">
        <f>IFERROR(__xludf.DUMMYFUNCTION("""COMPUTED_VALUE"""),"se eu fizer esse sistema, eu posso passar pro pessoal de forma bem mais simples, né? Como é que fazem as coisas e tal")</f>
        <v>se eu fizer esse sistema, eu posso passar pro pessoal de forma bem mais simples, né? Como é que fazem as coisas e tal</v>
      </c>
      <c r="H110" s="3" t="str">
        <f>IFERROR(__xludf.DUMMYFUNCTION("""COMPUTED_VALUE"""),"Using an example system designed by the teacher will give more confidence in supporting students during the course.")</f>
        <v>Using an example system designed by the teacher will give more confidence in supporting students during the course.</v>
      </c>
      <c r="I110" s="2" t="s">
        <v>3475</v>
      </c>
    </row>
    <row r="111">
      <c r="A111" s="50" t="s">
        <v>3002</v>
      </c>
      <c r="B111" s="2">
        <f>IFERROR(__xludf.DUMMYFUNCTION("""COMPUTED_VALUE"""),5.0)</f>
        <v>5</v>
      </c>
      <c r="C111" s="2">
        <f>IFERROR(__xludf.DUMMYFUNCTION("""COMPUTED_VALUE"""),6.0)</f>
        <v>6</v>
      </c>
      <c r="D111" s="2" t="str">
        <f>IFERROR(__xludf.DUMMYFUNCTION("""COMPUTED_VALUE"""),"R1 / R2")</f>
        <v>R1 / R2</v>
      </c>
      <c r="E111" s="2" t="str">
        <f>IFERROR(__xludf.DUMMYFUNCTION("""COMPUTED_VALUE"""),"Environment Setup")</f>
        <v>Environment Setup</v>
      </c>
      <c r="F111" s="2" t="str">
        <f>IFERROR(__xludf.DUMMYFUNCTION("""COMPUTED_VALUE"""),"recommendation")</f>
        <v>recommendation</v>
      </c>
      <c r="G111" s="3" t="str">
        <f>IFERROR(__xludf.DUMMYFUNCTION("""COMPUTED_VALUE"""),"eles diziam: professor, eu posso fazer na linguagem tal, eu posso na plataforma tal, eu posso fazer assim? [...] Então, não vou dizer que houveram, sei lá, seis, sete, diferentes ambientes, né? Que teve mas vamos botar aí uns dois ou três, né, diferentes."&amp;" Então, aí pra gente, professor, muitas vezes a gente não tem proficiência em todos esses, né? Então, aí a pessoa vai ter que tirar uma dúvida, aí você fala: pô, eu não sei. Assim, você decidiu fazer isso aí, meio que dá seus pulo, assim, sabe? O máximo q"&amp;"ue a gente pode fazer é tentar passar os conceitos, né? E quando a pessoa tá com uma dúvida muito grande assim, você fala, rapaz, tenta me explicar aí como é que é essa tecnologia aí que tu tá usando, pra ver se eu consigo, pelo menos, fazer aqui uma trad"&amp;"ução das coisas que eu já sei, pra isso aí")</f>
        <v>eles diziam: professor, eu posso fazer na linguagem tal, eu posso na plataforma tal, eu posso fazer assim? [...] Então, não vou dizer que houveram, sei lá, seis, sete, diferentes ambientes, né? Que teve mas vamos botar aí uns dois ou três, né, diferentes. Então, aí pra gente, professor, muitas vezes a gente não tem proficiência em todos esses, né? Então, aí a pessoa vai ter que tirar uma dúvida, aí você fala: pô, eu não sei. Assim, você decidiu fazer isso aí, meio que dá seus pulo, assim, sabe? O máximo que a gente pode fazer é tentar passar os conceitos, né? E quando a pessoa tá com uma dúvida muito grande assim, você fala, rapaz, tenta me explicar aí como é que é essa tecnologia aí que tu tá usando, pra ver se eu consigo, pelo menos, fazer aqui uma tradução das coisas que eu já sei, pra isso aí</v>
      </c>
      <c r="H111" s="3" t="str">
        <f>IFERROR(__xludf.DUMMYFUNCTION("""COMPUTED_VALUE"""),"Teach in a way that knowledge can be applied in different tools, but not focus on the possible specific problems of each technology.")</f>
        <v>Teach in a way that knowledge can be applied in different tools, but not focus on the possible specific problems of each technology.</v>
      </c>
      <c r="I111" s="2" t="s">
        <v>3476</v>
      </c>
    </row>
    <row r="112">
      <c r="A112" s="50" t="s">
        <v>3003</v>
      </c>
      <c r="B112" s="2">
        <f>IFERROR(__xludf.DUMMYFUNCTION("""COMPUTED_VALUE"""),5.0)</f>
        <v>5</v>
      </c>
      <c r="C112" s="2">
        <f>IFERROR(__xludf.DUMMYFUNCTION("""COMPUTED_VALUE"""),7.0)</f>
        <v>7</v>
      </c>
      <c r="D112" s="2" t="str">
        <f>IFERROR(__xludf.DUMMYFUNCTION("""COMPUTED_VALUE"""),"R2 / R3")</f>
        <v>R2 / R3</v>
      </c>
      <c r="E112" s="2" t="str">
        <f>IFERROR(__xludf.DUMMYFUNCTION("""COMPUTED_VALUE"""),"Environment Setup")</f>
        <v>Environment Setup</v>
      </c>
      <c r="F112" s="2" t="str">
        <f>IFERROR(__xludf.DUMMYFUNCTION("""COMPUTED_VALUE"""),"recommendation")</f>
        <v>recommendation</v>
      </c>
      <c r="G112" s="3" t="str">
        <f>IFERROR(__xludf.DUMMYFUNCTION("""COMPUTED_VALUE"""),"talvez faça sentido você prover o ambiente pros alunos, certo? E esse prover, você pode usar um docker da vida, que já vem tudo pronto, né? ")</f>
        <v>talvez faça sentido você prover o ambiente pros alunos, certo? E esse prover, você pode usar um docker da vida, que já vem tudo pronto, né? </v>
      </c>
      <c r="H112" s="3" t="str">
        <f>IFERROR(__xludf.DUMMYFUNCTION("""COMPUTED_VALUE"""),"Provide initial environment setup for students.")</f>
        <v>Provide initial environment setup for students.</v>
      </c>
      <c r="I112" s="2" t="s">
        <v>3477</v>
      </c>
    </row>
    <row r="113">
      <c r="A113" s="50" t="s">
        <v>3005</v>
      </c>
      <c r="B113" s="2">
        <f>IFERROR(__xludf.DUMMYFUNCTION("""COMPUTED_VALUE"""),5.0)</f>
        <v>5</v>
      </c>
      <c r="C113" s="2">
        <f>IFERROR(__xludf.DUMMYFUNCTION("""COMPUTED_VALUE"""),9.0)</f>
        <v>9</v>
      </c>
      <c r="D113" s="2" t="str">
        <f>IFERROR(__xludf.DUMMYFUNCTION("""COMPUTED_VALUE"""),"R1 / R3")</f>
        <v>R1 / R3</v>
      </c>
      <c r="E113" s="2" t="str">
        <f>IFERROR(__xludf.DUMMYFUNCTION("""COMPUTED_VALUE"""),"Class Preparation")</f>
        <v>Class Preparation</v>
      </c>
      <c r="F113" s="2" t="str">
        <f>IFERROR(__xludf.DUMMYFUNCTION("""COMPUTED_VALUE"""),"recommendation")</f>
        <v>recommendation</v>
      </c>
      <c r="G113" s="3" t="str">
        <f>IFERROR(__xludf.DUMMYFUNCTION("""COMPUTED_VALUE"""),"Heterogeneidade de material, é o maior desafio [...] você ter que montar uma aula costurando as fontes. Então, às vezes, eu, por exemplo, na minha disciplina de integração eu tenho que dar vários conceitos, né? Pra você falar de integração contínua, você "&amp;"precisa falar de controle de versão, você precisa falar de build, você precisa falar de teste, são várias coisas que fazem parte da integração contínua, né? Então, o gitflow não tá no livro, sabe? Branch, modelos de desenvolvimento, isso não tá no livro. ")</f>
        <v>Heterogeneidade de material, é o maior desafio [...] você ter que montar uma aula costurando as fontes. Então, às vezes, eu, por exemplo, na minha disciplina de integração eu tenho que dar vários conceitos, né? Pra você falar de integração contínua, você precisa falar de controle de versão, você precisa falar de build, você precisa falar de teste, são várias coisas que fazem parte da integração contínua, né? Então, o gitflow não tá no livro, sabe? Branch, modelos de desenvolvimento, isso não tá no livro. </v>
      </c>
      <c r="H113" s="3" t="str">
        <f>IFERROR(__xludf.DUMMYFUNCTION("""COMPUTED_VALUE"""),"It is necessary to make use of several sources when creating the course.")</f>
        <v>It is necessary to make use of several sources when creating the course.</v>
      </c>
      <c r="I113" s="2" t="s">
        <v>3478</v>
      </c>
    </row>
    <row r="114">
      <c r="A114" s="50" t="s">
        <v>3006</v>
      </c>
      <c r="B114" s="2">
        <f>IFERROR(__xludf.DUMMYFUNCTION("""COMPUTED_VALUE"""),5.0)</f>
        <v>5</v>
      </c>
      <c r="C114" s="2">
        <f>IFERROR(__xludf.DUMMYFUNCTION("""COMPUTED_VALUE"""),9.0)</f>
        <v>9</v>
      </c>
      <c r="D114" s="2" t="str">
        <f>IFERROR(__xludf.DUMMYFUNCTION("""COMPUTED_VALUE"""),"R1 / R3")</f>
        <v>R1 / R3</v>
      </c>
      <c r="E114" s="2" t="str">
        <f>IFERROR(__xludf.DUMMYFUNCTION("""COMPUTED_VALUE"""),"Class Preparation")</f>
        <v>Class Preparation</v>
      </c>
      <c r="F114" s="2" t="str">
        <f>IFERROR(__xludf.DUMMYFUNCTION("""COMPUTED_VALUE"""),"recommendation")</f>
        <v>recommendation</v>
      </c>
      <c r="G114" s="3" t="str">
        <f>IFERROR(__xludf.DUMMYFUNCTION("""COMPUTED_VALUE"""),"você precisa falar de controle de versão, você precisa falar de build, você precisa falar de teste, são várias coisas que fazem parte da integração contínua, né? Então, o gitflow não tá no livro, sabe? Branch, modelos de desenvolvimento, isso não tá no li"&amp;"vro. Aí você já começa a ir pros blogs e tal, sabe? Aí, você vai falar de teste de software, teste de software, se você foi um livro de engenharia de software, essa parte de teste é extremamente fraca, assim, é extremamente conceitual, não tem nada. Aí, v"&amp;"ocê já pode pegar os artigos. ")</f>
        <v>você precisa falar de controle de versão, você precisa falar de build, você precisa falar de teste, são várias coisas que fazem parte da integração contínua, né? Então, o gitflow não tá no livro, sabe? Branch, modelos de desenvolvimento, isso não tá no livro. Aí você já começa a ir pros blogs e tal, sabe? Aí, você vai falar de teste de software, teste de software, se você foi um livro de engenharia de software, essa parte de teste é extremamente fraca, assim, é extremamente conceitual, não tem nada. Aí, você já pode pegar os artigos. </v>
      </c>
      <c r="H114" s="3" t="str">
        <f>IFERROR(__xludf.DUMMYFUNCTION("""COMPUTED_VALUE"""),"Version control with git feature branch workflow, build, continuous integration, and software testing content should be taught.")</f>
        <v>Version control with git feature branch workflow, build, continuous integration, and software testing content should be taught.</v>
      </c>
      <c r="I114" s="2" t="s">
        <v>3479</v>
      </c>
    </row>
    <row r="115">
      <c r="A115" s="50" t="s">
        <v>3008</v>
      </c>
      <c r="B115" s="2">
        <f>IFERROR(__xludf.DUMMYFUNCTION("""COMPUTED_VALUE"""),5.0)</f>
        <v>5</v>
      </c>
      <c r="C115" s="2">
        <f>IFERROR(__xludf.DUMMYFUNCTION("""COMPUTED_VALUE"""),10.0)</f>
        <v>10</v>
      </c>
      <c r="D115" s="2" t="str">
        <f>IFERROR(__xludf.DUMMYFUNCTION("""COMPUTED_VALUE"""),"R1 / R3")</f>
        <v>R1 / R3</v>
      </c>
      <c r="E115" s="2" t="str">
        <f>IFERROR(__xludf.DUMMYFUNCTION("""COMPUTED_VALUE"""),"Class Preparation")</f>
        <v>Class Preparation</v>
      </c>
      <c r="F115" s="2" t="str">
        <f>IFERROR(__xludf.DUMMYFUNCTION("""COMPUTED_VALUE"""),"recommendation")</f>
        <v>recommendation</v>
      </c>
      <c r="G115" s="3" t="str">
        <f>IFERROR(__xludf.DUMMYFUNCTION("""COMPUTED_VALUE"""),"uma coisa que eu não faço, né? Que eu tô percebendo que eu vou precisar fazer, mas é exatamente eh documentar, né? Essas fontes, caso você precise revisitar, eh, eh, porque é muito fácil, né? Você abre blogue e tal, você fecha a aba e meio que morreu assi"&amp;"m. Então, de alguma forma você, você está sempre documentando, onde você pegou, da onde você puxou, guardar esses links, pra caso você tenha que, caso você precise revisitar aí em próximas, próximas versões do curso, sei lá.")</f>
        <v>uma coisa que eu não faço, né? Que eu tô percebendo que eu vou precisar fazer, mas é exatamente eh documentar, né? Essas fontes, caso você precise revisitar, eh, eh, porque é muito fácil, né? Você abre blogue e tal, você fecha a aba e meio que morreu assim. Então, de alguma forma você, você está sempre documentando, onde você pegou, da onde você puxou, guardar esses links, pra caso você tenha que, caso você precise revisitar aí em próximas, próximas versões do curso, sei lá.</v>
      </c>
      <c r="H115" s="3" t="str">
        <f>IFERROR(__xludf.DUMMYFUNCTION("""COMPUTED_VALUE"""),"Document the consulted material, facilitating future access.")</f>
        <v>Document the consulted material, facilitating future access.</v>
      </c>
      <c r="I115" s="2" t="s">
        <v>3480</v>
      </c>
    </row>
    <row r="116">
      <c r="A116" s="50" t="s">
        <v>3010</v>
      </c>
      <c r="B116" s="2">
        <f>IFERROR(__xludf.DUMMYFUNCTION("""COMPUTED_VALUE"""),5.0)</f>
        <v>5</v>
      </c>
      <c r="C116" s="2">
        <f>IFERROR(__xludf.DUMMYFUNCTION("""COMPUTED_VALUE"""),11.0)</f>
        <v>11</v>
      </c>
      <c r="D116" s="2" t="str">
        <f>IFERROR(__xludf.DUMMYFUNCTION("""COMPUTED_VALUE"""),"R1 / R2")</f>
        <v>R1 / R2</v>
      </c>
      <c r="E116" s="2" t="str">
        <f>IFERROR(__xludf.DUMMYFUNCTION("""COMPUTED_VALUE"""),"Tool / Technology")</f>
        <v>Tool / Technology</v>
      </c>
      <c r="F116" s="2" t="str">
        <f>IFERROR(__xludf.DUMMYFUNCTION("""COMPUTED_VALUE"""),"recommendation")</f>
        <v>recommendation</v>
      </c>
      <c r="G116" s="3" t="str">
        <f>IFERROR(__xludf.DUMMYFUNCTION("""COMPUTED_VALUE"""),"pra essa parte de integração contínua, [...] Quando você fala de integração contínua, tem várias ferramentas que você pode usar. Então, você pode usar o Jenkins, você pode usar o Travis, você pode usar o Circle CI, agora surgiu o Github Actions, sabe?")</f>
        <v>pra essa parte de integração contínua, [...] Quando você fala de integração contínua, tem várias ferramentas que você pode usar. Então, você pode usar o Jenkins, você pode usar o Travis, você pode usar o Circle CI, agora surgiu o Github Actions, sabe?</v>
      </c>
      <c r="H116" s="3" t="str">
        <f>IFERROR(__xludf.DUMMYFUNCTION("""COMPUTED_VALUE"""),"Use Jenkins, Travis CI, Circle CI and Github Actions in teaching continuous integration.")</f>
        <v>Use Jenkins, Travis CI, Circle CI and Github Actions in teaching continuous integration.</v>
      </c>
      <c r="I116" s="2" t="s">
        <v>3481</v>
      </c>
    </row>
    <row r="117">
      <c r="A117" s="50" t="s">
        <v>3011</v>
      </c>
      <c r="B117" s="2">
        <f>IFERROR(__xludf.DUMMYFUNCTION("""COMPUTED_VALUE"""),5.0)</f>
        <v>5</v>
      </c>
      <c r="C117" s="2">
        <f>IFERROR(__xludf.DUMMYFUNCTION("""COMPUTED_VALUE"""),11.0)</f>
        <v>11</v>
      </c>
      <c r="D117" s="2" t="str">
        <f>IFERROR(__xludf.DUMMYFUNCTION("""COMPUTED_VALUE"""),"R1 / R2")</f>
        <v>R1 / R2</v>
      </c>
      <c r="E117" s="2" t="str">
        <f>IFERROR(__xludf.DUMMYFUNCTION("""COMPUTED_VALUE"""),"Tool / Technology")</f>
        <v>Tool / Technology</v>
      </c>
      <c r="F117" s="2" t="str">
        <f>IFERROR(__xludf.DUMMYFUNCTION("""COMPUTED_VALUE"""),"recommendation")</f>
        <v>recommendation</v>
      </c>
      <c r="G117" s="3" t="str">
        <f>IFERROR(__xludf.DUMMYFUNCTION("""COMPUTED_VALUE"""),"tem muita tecnologia no mercado [...] você não pode abordar tudo, né? Mas, ao mesmo tempo, só dar o conceito, eu não acho suficiente. Então, você tem que fazer uma escolha. Eu vou ensinar isso aqui.")</f>
        <v>tem muita tecnologia no mercado [...] você não pode abordar tudo, né? Mas, ao mesmo tempo, só dar o conceito, eu não acho suficiente. Então, você tem que fazer uma escolha. Eu vou ensinar isso aqui.</v>
      </c>
      <c r="H117" s="3" t="str">
        <f>IFERROR(__xludf.DUMMYFUNCTION("""COMPUTED_VALUE"""),"Teaching must be practical, not just theoretical.")</f>
        <v>Teaching must be practical, not just theoretical.</v>
      </c>
      <c r="I117" s="2" t="s">
        <v>3482</v>
      </c>
    </row>
    <row r="118">
      <c r="A118" s="50" t="s">
        <v>3013</v>
      </c>
      <c r="B118" s="2">
        <f>IFERROR(__xludf.DUMMYFUNCTION("""COMPUTED_VALUE"""),5.0)</f>
        <v>5</v>
      </c>
      <c r="C118" s="2">
        <f>IFERROR(__xludf.DUMMYFUNCTION("""COMPUTED_VALUE"""),11.0)</f>
        <v>11</v>
      </c>
      <c r="D118" s="2" t="str">
        <f>IFERROR(__xludf.DUMMYFUNCTION("""COMPUTED_VALUE"""),"R1 / R2")</f>
        <v>R1 / R2</v>
      </c>
      <c r="E118" s="2" t="str">
        <f>IFERROR(__xludf.DUMMYFUNCTION("""COMPUTED_VALUE"""),"Tool / Technology")</f>
        <v>Tool / Technology</v>
      </c>
      <c r="F118" s="2" t="str">
        <f>IFERROR(__xludf.DUMMYFUNCTION("""COMPUTED_VALUE"""),"recommendation")</f>
        <v>recommendation</v>
      </c>
      <c r="G118" s="3" t="str">
        <f>IFERROR(__xludf.DUMMYFUNCTION("""COMPUTED_VALUE"""),"o Jenkins vamos dizer assim, ele, apesar dele ser desafiador, porque ele não é a coisa mais fácil do mundo de configurar. Essas dores, eu também acho importante para a galera [...] o Jenkins você não paga nada [...] Essas dores, eu também acho importante "&amp;"para a galera quando pega algo um CI que funciona na nuvem e tal, perceber, poxa, olha só que que facilidade")</f>
        <v>o Jenkins vamos dizer assim, ele, apesar dele ser desafiador, porque ele não é a coisa mais fácil do mundo de configurar. Essas dores, eu também acho importante para a galera [...] o Jenkins você não paga nada [...] Essas dores, eu também acho importante para a galera quando pega algo um CI que funciona na nuvem e tal, perceber, poxa, olha só que que facilidade</v>
      </c>
      <c r="H118" s="3" t="str">
        <f>IFERROR(__xludf.DUMMYFUNCTION("""COMPUTED_VALUE"""),"The difficulties of configuring CI tools like Jenkins are essential to student learning, facilitating a future transition to cloud CI tools.")</f>
        <v>The difficulties of configuring CI tools like Jenkins are essential to student learning, facilitating a future transition to cloud CI tools.</v>
      </c>
      <c r="I118" s="2" t="s">
        <v>3483</v>
      </c>
    </row>
    <row r="119">
      <c r="A119" s="50" t="s">
        <v>3015</v>
      </c>
      <c r="B119" s="2">
        <f>IFERROR(__xludf.DUMMYFUNCTION("""COMPUTED_VALUE"""),5.0)</f>
        <v>5</v>
      </c>
      <c r="C119" s="2">
        <f>IFERROR(__xludf.DUMMYFUNCTION("""COMPUTED_VALUE"""),11.0)</f>
        <v>11</v>
      </c>
      <c r="D119" s="2" t="str">
        <f>IFERROR(__xludf.DUMMYFUNCTION("""COMPUTED_VALUE"""),"R1 / R2")</f>
        <v>R1 / R2</v>
      </c>
      <c r="E119" s="2" t="str">
        <f>IFERROR(__xludf.DUMMYFUNCTION("""COMPUTED_VALUE"""),"Tool / Technology")</f>
        <v>Tool / Technology</v>
      </c>
      <c r="F119" s="2" t="str">
        <f>IFERROR(__xludf.DUMMYFUNCTION("""COMPUTED_VALUE"""),"recommendation")</f>
        <v>recommendation</v>
      </c>
      <c r="G119" s="3" t="str">
        <f>IFERROR(__xludf.DUMMYFUNCTION("""COMPUTED_VALUE"""),"a recomendação seria essa, seria pegar ferramentas que estão minimamente relevantes, né? E de forma que você consiga apresentar os diferentes custo-benefícios de cada uma.")</f>
        <v>a recomendação seria essa, seria pegar ferramentas que estão minimamente relevantes, né? E de forma que você consiga apresentar os diferentes custo-benefícios de cada uma.</v>
      </c>
      <c r="H119" s="3" t="str">
        <f>IFERROR(__xludf.DUMMYFUNCTION("""COMPUTED_VALUE"""),"Introduce students to minimal relevant tools and their tradeoffs.")</f>
        <v>Introduce students to minimal relevant tools and their tradeoffs.</v>
      </c>
      <c r="I119" s="2" t="s">
        <v>3484</v>
      </c>
    </row>
    <row r="120">
      <c r="A120" s="50" t="s">
        <v>3016</v>
      </c>
      <c r="B120" s="2">
        <f>IFERROR(__xludf.DUMMYFUNCTION("""COMPUTED_VALUE"""),5.0)</f>
        <v>5</v>
      </c>
      <c r="C120" s="2">
        <f>IFERROR(__xludf.DUMMYFUNCTION("""COMPUTED_VALUE"""),11.0)</f>
        <v>11</v>
      </c>
      <c r="D120" s="2" t="str">
        <f>IFERROR(__xludf.DUMMYFUNCTION("""COMPUTED_VALUE"""),"R1 / R2")</f>
        <v>R1 / R2</v>
      </c>
      <c r="E120" s="2" t="str">
        <f>IFERROR(__xludf.DUMMYFUNCTION("""COMPUTED_VALUE"""),"Tool / Technology")</f>
        <v>Tool / Technology</v>
      </c>
      <c r="F120" s="2" t="str">
        <f>IFERROR(__xludf.DUMMYFUNCTION("""COMPUTED_VALUE"""),"recommendation")</f>
        <v>recommendation</v>
      </c>
      <c r="G120" s="3" t="str">
        <f>IFERROR(__xludf.DUMMYFUNCTION("""COMPUTED_VALUE"""),"o Jenkins você não paga nada, você instala no seu servidor e já era")</f>
        <v>o Jenkins você não paga nada, você instala no seu servidor e já era</v>
      </c>
      <c r="H120" s="3" t="str">
        <f>IFERROR(__xludf.DUMMYFUNCTION("""COMPUTED_VALUE"""),"Use Jenkins.")</f>
        <v>Use Jenkins.</v>
      </c>
      <c r="I120" s="2" t="s">
        <v>3485</v>
      </c>
    </row>
    <row r="121">
      <c r="A121" s="50" t="s">
        <v>3017</v>
      </c>
      <c r="B121" s="2">
        <f>IFERROR(__xludf.DUMMYFUNCTION("""COMPUTED_VALUE"""),5.0)</f>
        <v>5</v>
      </c>
      <c r="C121" s="2">
        <f>IFERROR(__xludf.DUMMYFUNCTION("""COMPUTED_VALUE"""),12.0)</f>
        <v>12</v>
      </c>
      <c r="D121" s="2" t="str">
        <f>IFERROR(__xludf.DUMMYFUNCTION("""COMPUTED_VALUE"""),"R2 / R3")</f>
        <v>R2 / R3</v>
      </c>
      <c r="E121" s="2" t="str">
        <f>IFERROR(__xludf.DUMMYFUNCTION("""COMPUTED_VALUE"""),"Assessment")</f>
        <v>Assessment</v>
      </c>
      <c r="F121" s="2" t="str">
        <f>IFERROR(__xludf.DUMMYFUNCTION("""COMPUTED_VALUE"""),"recommendation")</f>
        <v>recommendation</v>
      </c>
      <c r="G121" s="3" t="str">
        <f>IFERROR(__xludf.DUMMYFUNCTION("""COMPUTED_VALUE"""),"Eu sempre passo algum tipo de avaliação escrita dos conceitos básicos [...] eu gosto que os alunos expressem nas suas próprias palavras o que eles entenderam [...] principalmente da parte cultural")</f>
        <v>Eu sempre passo algum tipo de avaliação escrita dos conceitos básicos [...] eu gosto que os alunos expressem nas suas próprias palavras o que eles entenderam [...] principalmente da parte cultural</v>
      </c>
      <c r="H121" s="3" t="str">
        <f>IFERROR(__xludf.DUMMYFUNCTION("""COMPUTED_VALUE"""),"Use assessment writing of basic concepts and DevOps culture so that students can express what they understand in their own words.")</f>
        <v>Use assessment writing of basic concepts and DevOps culture so that students can express what they understand in their own words.</v>
      </c>
      <c r="I121" s="2" t="s">
        <v>3486</v>
      </c>
    </row>
    <row r="122">
      <c r="A122" s="50" t="s">
        <v>3018</v>
      </c>
      <c r="B122" s="2">
        <f>IFERROR(__xludf.DUMMYFUNCTION("""COMPUTED_VALUE"""),5.0)</f>
        <v>5</v>
      </c>
      <c r="C122" s="2">
        <f>IFERROR(__xludf.DUMMYFUNCTION("""COMPUTED_VALUE"""),12.0)</f>
        <v>12</v>
      </c>
      <c r="D122" s="2" t="str">
        <f>IFERROR(__xludf.DUMMYFUNCTION("""COMPUTED_VALUE"""),"R2 / R3")</f>
        <v>R2 / R3</v>
      </c>
      <c r="E122" s="2" t="str">
        <f>IFERROR(__xludf.DUMMYFUNCTION("""COMPUTED_VALUE"""),"Assessment")</f>
        <v>Assessment</v>
      </c>
      <c r="F122" s="2" t="str">
        <f>IFERROR(__xludf.DUMMYFUNCTION("""COMPUTED_VALUE"""),"recommendation")</f>
        <v>recommendation</v>
      </c>
      <c r="G122" s="3" t="str">
        <f>IFERROR(__xludf.DUMMYFUNCTION("""COMPUTED_VALUE"""),"Do ponto de vista prático, eu simplesmente passo exercício.")</f>
        <v>Do ponto de vista prático, eu simplesmente passo exercício.</v>
      </c>
      <c r="H122" s="3" t="str">
        <f>IFERROR(__xludf.DUMMYFUNCTION("""COMPUTED_VALUE"""),"Evaluate through practical exercises.")</f>
        <v>Evaluate through practical exercises.</v>
      </c>
      <c r="I122" s="2" t="s">
        <v>3487</v>
      </c>
    </row>
    <row r="123">
      <c r="A123" s="50" t="s">
        <v>3019</v>
      </c>
      <c r="B123" s="2">
        <f>IFERROR(__xludf.DUMMYFUNCTION("""COMPUTED_VALUE"""),5.0)</f>
        <v>5</v>
      </c>
      <c r="C123" s="2">
        <f>IFERROR(__xludf.DUMMYFUNCTION("""COMPUTED_VALUE"""),13.0)</f>
        <v>13</v>
      </c>
      <c r="D123" s="2" t="str">
        <f>IFERROR(__xludf.DUMMYFUNCTION("""COMPUTED_VALUE"""),"R1 / R3")</f>
        <v>R1 / R3</v>
      </c>
      <c r="E123" s="2" t="str">
        <f>IFERROR(__xludf.DUMMYFUNCTION("""COMPUTED_VALUE"""),"Curriculum")</f>
        <v>Curriculum</v>
      </c>
      <c r="F123" s="2" t="str">
        <f>IFERROR(__xludf.DUMMYFUNCTION("""COMPUTED_VALUE"""),"recommendation")</f>
        <v>recommendation</v>
      </c>
      <c r="G123" s="3" t="str">
        <f>IFERROR(__xludf.DUMMYFUNCTION("""COMPUTED_VALUE"""),"DevOps [...] No curso de especialização [...] você consegue quebrar, todos esses conteúdos em disciplinas maiores")</f>
        <v>DevOps [...] No curso de especialização [...] você consegue quebrar, todos esses conteúdos em disciplinas maiores</v>
      </c>
      <c r="H123" s="3" t="str">
        <f>IFERROR(__xludf.DUMMYFUNCTION("""COMPUTED_VALUE"""),"It is possible to break the teaching of DevOps into various disciplines in a DevOps specialization course.")</f>
        <v>It is possible to break the teaching of DevOps into various disciplines in a DevOps specialization course.</v>
      </c>
      <c r="I123" s="2" t="s">
        <v>3488</v>
      </c>
    </row>
    <row r="124">
      <c r="A124" s="50" t="s">
        <v>3021</v>
      </c>
      <c r="B124" s="2">
        <f>IFERROR(__xludf.DUMMYFUNCTION("""COMPUTED_VALUE"""),5.0)</f>
        <v>5</v>
      </c>
      <c r="C124" s="2">
        <f>IFERROR(__xludf.DUMMYFUNCTION("""COMPUTED_VALUE"""),13.0)</f>
        <v>13</v>
      </c>
      <c r="D124" s="2" t="str">
        <f>IFERROR(__xludf.DUMMYFUNCTION("""COMPUTED_VALUE"""),"R1 / R3")</f>
        <v>R1 / R3</v>
      </c>
      <c r="E124" s="2" t="str">
        <f>IFERROR(__xludf.DUMMYFUNCTION("""COMPUTED_VALUE"""),"Curriculum")</f>
        <v>Curriculum</v>
      </c>
      <c r="F124" s="2" t="str">
        <f>IFERROR(__xludf.DUMMYFUNCTION("""COMPUTED_VALUE"""),"recommendation")</f>
        <v>recommendation</v>
      </c>
      <c r="G124" s="3" t="str">
        <f>IFERROR(__xludf.DUMMYFUNCTION("""COMPUTED_VALUE"""),"assim, tem algumas coisas que não podem deixar de ter, né? todas, se você ver lá a figurinha bonitinha do ciclo DevOps, né? Toda aquela parte de compilar, testar, fazer, monitorar e avaliar, eu acho que tudo isso precisa ser cobrado de alguma forma, preci"&amp;"sa entrar de alguma forma")</f>
        <v>assim, tem algumas coisas que não podem deixar de ter, né? todas, se você ver lá a figurinha bonitinha do ciclo DevOps, né? Toda aquela parte de compilar, testar, fazer, monitorar e avaliar, eu acho que tudo isso precisa ser cobrado de alguma forma, precisa entrar de alguma forma</v>
      </c>
      <c r="H124" s="3" t="str">
        <f>IFERROR(__xludf.DUMMYFUNCTION("""COMPUTED_VALUE"""),"The basics of building, testing, deploying, and monitoring should be present in a DevOps course.")</f>
        <v>The basics of building, testing, deploying, and monitoring should be present in a DevOps course.</v>
      </c>
      <c r="I124" s="2" t="s">
        <v>3489</v>
      </c>
    </row>
    <row r="125">
      <c r="A125" s="50" t="s">
        <v>3023</v>
      </c>
      <c r="B125" s="2">
        <f>IFERROR(__xludf.DUMMYFUNCTION("""COMPUTED_VALUE"""),6.0)</f>
        <v>6</v>
      </c>
      <c r="C125" s="2">
        <f>IFERROR(__xludf.DUMMYFUNCTION("""COMPUTED_VALUE"""),3.0)</f>
        <v>3</v>
      </c>
      <c r="D125" s="2" t="str">
        <f>IFERROR(__xludf.DUMMYFUNCTION("""COMPUTED_VALUE"""),"R1 / R3")</f>
        <v>R1 / R3</v>
      </c>
      <c r="E125" s="2" t="str">
        <f>IFERROR(__xludf.DUMMYFUNCTION("""COMPUTED_VALUE"""),"Class Preparation")</f>
        <v>Class Preparation</v>
      </c>
      <c r="F125" s="2" t="str">
        <f>IFERROR(__xludf.DUMMYFUNCTION("""COMPUTED_VALUE"""),"recommendation")</f>
        <v>recommendation</v>
      </c>
      <c r="G125" s="3" t="str">
        <f>IFERROR(__xludf.DUMMYFUNCTION("""COMPUTED_VALUE"""),"durante a criação [...] Já é tudo preparado e as turmas são sempre iguais [...] é a mesma apostila, o mesmo conteúdo, mesma didática de ensino, tão não tem uma preparação para cada aula, sabe? Foi só uma preparação inicial. ")</f>
        <v>durante a criação [...] Já é tudo preparado e as turmas são sempre iguais [...] é a mesma apostila, o mesmo conteúdo, mesma didática de ensino, tão não tem uma preparação para cada aula, sabe? Foi só uma preparação inicial. </v>
      </c>
      <c r="H125" s="3" t="str">
        <f>IFERROR(__xludf.DUMMYFUNCTION("""COMPUTED_VALUE"""),"Standardize the teaching material for all classes.")</f>
        <v>Standardize the teaching material for all classes.</v>
      </c>
      <c r="I125" s="2" t="s">
        <v>3490</v>
      </c>
    </row>
    <row r="126">
      <c r="A126" s="50" t="s">
        <v>3025</v>
      </c>
      <c r="B126" s="2">
        <f>IFERROR(__xludf.DUMMYFUNCTION("""COMPUTED_VALUE"""),6.0)</f>
        <v>6</v>
      </c>
      <c r="C126" s="2">
        <f>IFERROR(__xludf.DUMMYFUNCTION("""COMPUTED_VALUE"""),3.0)</f>
        <v>3</v>
      </c>
      <c r="D126" s="2" t="str">
        <f>IFERROR(__xludf.DUMMYFUNCTION("""COMPUTED_VALUE"""),"R1 / R3")</f>
        <v>R1 / R3</v>
      </c>
      <c r="E126" s="2" t="str">
        <f>IFERROR(__xludf.DUMMYFUNCTION("""COMPUTED_VALUE"""),"Class Preparation")</f>
        <v>Class Preparation</v>
      </c>
      <c r="F126" s="2" t="str">
        <f>IFERROR(__xludf.DUMMYFUNCTION("""COMPUTED_VALUE"""),"recommendation")</f>
        <v>recommendation</v>
      </c>
      <c r="G126" s="3" t="str">
        <f>IFERROR(__xludf.DUMMYFUNCTION("""COMPUTED_VALUE"""),"o treinamento é limitado [...] a gente vai ter que cortar, né? Foca em ferramentas, mas em quais ferramentas. Então, essa foi uma, um grande desafio, assim, pensar em quais temas são essenciais, quais ferramentas ensinar, dentro de cada tema, né?")</f>
        <v>o treinamento é limitado [...] a gente vai ter que cortar, né? Foca em ferramentas, mas em quais ferramentas. Então, essa foi uma, um grande desafio, assim, pensar em quais temas são essenciais, quais ferramentas ensinar, dentro de cada tema, né?</v>
      </c>
      <c r="H126" s="3" t="str">
        <f>IFERROR(__xludf.DUMMYFUNCTION("""COMPUTED_VALUE"""),"It is necessary to choose which topics and tools are essential as the course time is limited.")</f>
        <v>It is necessary to choose which topics and tools are essential as the course time is limited.</v>
      </c>
      <c r="I126" s="2" t="s">
        <v>3491</v>
      </c>
    </row>
    <row r="127">
      <c r="A127" s="50" t="s">
        <v>3027</v>
      </c>
      <c r="B127" s="2">
        <f>IFERROR(__xludf.DUMMYFUNCTION("""COMPUTED_VALUE"""),6.0)</f>
        <v>6</v>
      </c>
      <c r="C127" s="2">
        <f>IFERROR(__xludf.DUMMYFUNCTION("""COMPUTED_VALUE"""),3.0)</f>
        <v>3</v>
      </c>
      <c r="D127" s="2" t="str">
        <f>IFERROR(__xludf.DUMMYFUNCTION("""COMPUTED_VALUE"""),"R1 / R3")</f>
        <v>R1 / R3</v>
      </c>
      <c r="E127" s="2" t="str">
        <f>IFERROR(__xludf.DUMMYFUNCTION("""COMPUTED_VALUE"""),"Class Preparation")</f>
        <v>Class Preparation</v>
      </c>
      <c r="F127" s="2" t="str">
        <f>IFERROR(__xludf.DUMMYFUNCTION("""COMPUTED_VALUE"""),"recommendation")</f>
        <v>recommendation</v>
      </c>
      <c r="G127" s="3" t="str">
        <f>IFERROR(__xludf.DUMMYFUNCTION("""COMPUTED_VALUE"""),"Qual ferramenta escolher, que aí tinha que ver, o que que era mais padrão de mercado, o que que era mais simples, o que que fica mais fácil até pra ensinar também e também como encaixar, né?")</f>
        <v>Qual ferramenta escolher, que aí tinha que ver, o que que era mais padrão de mercado, o que que era mais simples, o que que fica mais fácil até pra ensinar também e também como encaixar, né?</v>
      </c>
      <c r="H127" s="3" t="str">
        <f>IFERROR(__xludf.DUMMYFUNCTION("""COMPUTED_VALUE"""),"Use the simplest tools chosen by the market as a method of selecting the tools that will be adopted during the course.")</f>
        <v>Use the simplest tools chosen by the market as a method of selecting the tools that will be adopted during the course.</v>
      </c>
      <c r="I127" s="2" t="s">
        <v>3492</v>
      </c>
    </row>
    <row r="128">
      <c r="A128" s="50" t="s">
        <v>3028</v>
      </c>
      <c r="B128" s="2">
        <f>IFERROR(__xludf.DUMMYFUNCTION("""COMPUTED_VALUE"""),6.0)</f>
        <v>6</v>
      </c>
      <c r="C128" s="2">
        <f>IFERROR(__xludf.DUMMYFUNCTION("""COMPUTED_VALUE"""),4.0)</f>
        <v>4</v>
      </c>
      <c r="D128" s="2" t="str">
        <f>IFERROR(__xludf.DUMMYFUNCTION("""COMPUTED_VALUE"""),"R1 / R3")</f>
        <v>R1 / R3</v>
      </c>
      <c r="E128" s="2" t="str">
        <f>IFERROR(__xludf.DUMMYFUNCTION("""COMPUTED_VALUE"""),"Class Preparation")</f>
        <v>Class Preparation</v>
      </c>
      <c r="F128" s="2" t="str">
        <f>IFERROR(__xludf.DUMMYFUNCTION("""COMPUTED_VALUE"""),"recommendation")</f>
        <v>recommendation</v>
      </c>
      <c r="G128" s="3" t="str">
        <f>IFERROR(__xludf.DUMMYFUNCTION("""COMPUTED_VALUE"""),"de primeiramente mostrar o histórico, mostrar a motivação, mostrar o problema e fazendo uns ganchos ali com possíveis soluções que Devops foi trazendo, né?")</f>
        <v>de primeiramente mostrar o histórico, mostrar a motivação, mostrar o problema e fazendo uns ganchos ali com possíveis soluções que Devops foi trazendo, né?</v>
      </c>
      <c r="H128" s="3" t="str">
        <f>IFERROR(__xludf.DUMMYFUNCTION("""COMPUTED_VALUE"""),"The assembly of classes should follow the following steps to use DevOps: history, motivation, problems that can be solved, and possible solutions with DevOps.")</f>
        <v>The assembly of classes should follow the following steps to use DevOps: history, motivation, problems that can be solved, and possible solutions with DevOps.</v>
      </c>
      <c r="I128" s="2" t="s">
        <v>3493</v>
      </c>
    </row>
    <row r="129">
      <c r="A129" s="50" t="s">
        <v>3030</v>
      </c>
      <c r="B129" s="2">
        <f>IFERROR(__xludf.DUMMYFUNCTION("""COMPUTED_VALUE"""),6.0)</f>
        <v>6</v>
      </c>
      <c r="C129" s="2">
        <f>IFERROR(__xludf.DUMMYFUNCTION("""COMPUTED_VALUE"""),5.0)</f>
        <v>5</v>
      </c>
      <c r="D129" s="2" t="str">
        <f>IFERROR(__xludf.DUMMYFUNCTION("""COMPUTED_VALUE"""),"R1 / R3")</f>
        <v>R1 / R3</v>
      </c>
      <c r="E129" s="2" t="str">
        <f>IFERROR(__xludf.DUMMYFUNCTION("""COMPUTED_VALUE"""),"Tool / Technology")</f>
        <v>Tool / Technology</v>
      </c>
      <c r="F129" s="2" t="str">
        <f>IFERROR(__xludf.DUMMYFUNCTION("""COMPUTED_VALUE"""),"recommendation")</f>
        <v>recommendation</v>
      </c>
      <c r="G129" s="3" t="str">
        <f>IFERROR(__xludf.DUMMYFUNCTION("""COMPUTED_VALUE"""),"precisava ter algum projeto [...] Prático [...] Pra não ficar só na parte de teoria. ")</f>
        <v>precisava ter algum projeto [...] Prático [...] Pra não ficar só na parte de teoria. </v>
      </c>
      <c r="H129" s="3" t="str">
        <f>IFERROR(__xludf.DUMMYFUNCTION("""COMPUTED_VALUE"""),"Teaching needs a practical project, not just theoretical teaching.")</f>
        <v>Teaching needs a practical project, not just theoretical teaching.</v>
      </c>
      <c r="I129" s="2" t="s">
        <v>3494</v>
      </c>
    </row>
    <row r="130">
      <c r="A130" s="50" t="s">
        <v>3031</v>
      </c>
      <c r="B130" s="2">
        <f>IFERROR(__xludf.DUMMYFUNCTION("""COMPUTED_VALUE"""),6.0)</f>
        <v>6</v>
      </c>
      <c r="C130" s="2">
        <f>IFERROR(__xludf.DUMMYFUNCTION("""COMPUTED_VALUE"""),5.0)</f>
        <v>5</v>
      </c>
      <c r="D130" s="2" t="str">
        <f>IFERROR(__xludf.DUMMYFUNCTION("""COMPUTED_VALUE"""),"R1 / R3")</f>
        <v>R1 / R3</v>
      </c>
      <c r="E130" s="2" t="str">
        <f>IFERROR(__xludf.DUMMYFUNCTION("""COMPUTED_VALUE"""),"Tool / Technology")</f>
        <v>Tool / Technology</v>
      </c>
      <c r="F130" s="2" t="str">
        <f>IFERROR(__xludf.DUMMYFUNCTION("""COMPUTED_VALUE"""),"recommendation")</f>
        <v>recommendation</v>
      </c>
      <c r="G130" s="3" t="str">
        <f>IFERROR(__xludf.DUMMYFUNCTION("""COMPUTED_VALUE"""),"Então, a gente acabou escolhendo o Java, porque é o é o grande forte, ali, nosso, tal, foi Java.")</f>
        <v>Então, a gente acabou escolhendo o Java, porque é o é o grande forte, ali, nosso, tal, foi Java.</v>
      </c>
      <c r="H130" s="3" t="str">
        <f>IFERROR(__xludf.DUMMYFUNCTION("""COMPUTED_VALUE"""),"Use a programming language that the teacher knows.")</f>
        <v>Use a programming language that the teacher knows.</v>
      </c>
      <c r="I130" s="2" t="s">
        <v>3495</v>
      </c>
    </row>
    <row r="131">
      <c r="A131" s="50" t="s">
        <v>3032</v>
      </c>
      <c r="B131" s="2">
        <f>IFERROR(__xludf.DUMMYFUNCTION("""COMPUTED_VALUE"""),6.0)</f>
        <v>6</v>
      </c>
      <c r="C131" s="2">
        <f>IFERROR(__xludf.DUMMYFUNCTION("""COMPUTED_VALUE"""),5.0)</f>
        <v>5</v>
      </c>
      <c r="D131" s="2" t="str">
        <f>IFERROR(__xludf.DUMMYFUNCTION("""COMPUTED_VALUE"""),"R1 / R3")</f>
        <v>R1 / R3</v>
      </c>
      <c r="E131" s="2" t="str">
        <f>IFERROR(__xludf.DUMMYFUNCTION("""COMPUTED_VALUE"""),"Tool / Technology")</f>
        <v>Tool / Technology</v>
      </c>
      <c r="F131" s="2" t="str">
        <f>IFERROR(__xludf.DUMMYFUNCTION("""COMPUTED_VALUE"""),"recommendation")</f>
        <v>recommendation</v>
      </c>
      <c r="G131" s="3" t="str">
        <f>IFERROR(__xludf.DUMMYFUNCTION("""COMPUTED_VALUE"""),"na hora que for ensinar conceitos de devops, tipo, integração contínua, vai ter uma ferramenta,")</f>
        <v>na hora que for ensinar conceitos de devops, tipo, integração contínua, vai ter uma ferramenta,</v>
      </c>
      <c r="H131" s="3" t="str">
        <f>IFERROR(__xludf.DUMMYFUNCTION("""COMPUTED_VALUE"""),"Use tools while explaining the continuous integration concept.")</f>
        <v>Use tools while explaining the continuous integration concept.</v>
      </c>
      <c r="I131" s="2" t="s">
        <v>3496</v>
      </c>
    </row>
    <row r="132">
      <c r="A132" s="50" t="s">
        <v>3033</v>
      </c>
      <c r="B132" s="2">
        <f>IFERROR(__xludf.DUMMYFUNCTION("""COMPUTED_VALUE"""),6.0)</f>
        <v>6</v>
      </c>
      <c r="C132" s="2">
        <f>IFERROR(__xludf.DUMMYFUNCTION("""COMPUTED_VALUE"""),5.0)</f>
        <v>5</v>
      </c>
      <c r="D132" s="2" t="str">
        <f>IFERROR(__xludf.DUMMYFUNCTION("""COMPUTED_VALUE"""),"R1 / R3")</f>
        <v>R1 / R3</v>
      </c>
      <c r="E132" s="2" t="str">
        <f>IFERROR(__xludf.DUMMYFUNCTION("""COMPUTED_VALUE"""),"Tool / Technology")</f>
        <v>Tool / Technology</v>
      </c>
      <c r="F132" s="2" t="str">
        <f>IFERROR(__xludf.DUMMYFUNCTION("""COMPUTED_VALUE"""),"recommendation")</f>
        <v>recommendation</v>
      </c>
      <c r="G132" s="3" t="str">
        <f>IFERROR(__xludf.DUMMYFUNCTION("""COMPUTED_VALUE"""),"a recomendação mesmo é olhar pro mercado, pesquisar, ver, em Twitter, grupos de discussão, ver o que tá em alta no Google Trends. Para saber escolher uma ferramenta que seja mais popular, né? Que seja mais utilizada e que mais pessoas consigam aproveitar "&amp;"ali o conteúdo, né? Porque são ferramentas que elas já estão acostumadas a utilizar.")</f>
        <v>a recomendação mesmo é olhar pro mercado, pesquisar, ver, em Twitter, grupos de discussão, ver o que tá em alta no Google Trends. Para saber escolher uma ferramenta que seja mais popular, né? Que seja mais utilizada e que mais pessoas consigam aproveitar ali o conteúdo, né? Porque são ferramentas que elas já estão acostumadas a utilizar.</v>
      </c>
      <c r="H132" s="3" t="str">
        <f>IFERROR(__xludf.DUMMYFUNCTION("""COMPUTED_VALUE"""),"Research market tools on Twitter, discussion groups, Google Trends, as they are probably the tools that students are used to using and will take advantage of in their work.")</f>
        <v>Research market tools on Twitter, discussion groups, Google Trends, as they are probably the tools that students are used to using and will take advantage of in their work.</v>
      </c>
      <c r="I132" s="2" t="s">
        <v>3497</v>
      </c>
    </row>
    <row r="133">
      <c r="A133" s="50" t="s">
        <v>3034</v>
      </c>
      <c r="B133" s="2">
        <f>IFERROR(__xludf.DUMMYFUNCTION("""COMPUTED_VALUE"""),6.0)</f>
        <v>6</v>
      </c>
      <c r="C133" s="2">
        <f>IFERROR(__xludf.DUMMYFUNCTION("""COMPUTED_VALUE"""),6.0)</f>
        <v>6</v>
      </c>
      <c r="D133" s="2" t="str">
        <f>IFERROR(__xludf.DUMMYFUNCTION("""COMPUTED_VALUE"""),"R1 / R2")</f>
        <v>R1 / R2</v>
      </c>
      <c r="E133" s="2" t="str">
        <f>IFERROR(__xludf.DUMMYFUNCTION("""COMPUTED_VALUE"""),"Assessment")</f>
        <v>Assessment</v>
      </c>
      <c r="F133" s="2" t="str">
        <f>IFERROR(__xludf.DUMMYFUNCTION("""COMPUTED_VALUE"""),"recommendation")</f>
        <v>recommendation</v>
      </c>
      <c r="G133" s="3" t="str">
        <f>IFERROR(__xludf.DUMMYFUNCTION("""COMPUTED_VALUE"""),"a gente não faz avaliação, [...] mas ao longo do treinamento, a gente vai observando, né, os alunos e tal. ")</f>
        <v>a gente não faz avaliação, [...] mas ao longo do treinamento, a gente vai observando, né, os alunos e tal. </v>
      </c>
      <c r="H133" s="3" t="str">
        <f>IFERROR(__xludf.DUMMYFUNCTION("""COMPUTED_VALUE"""),"Monitor student progress throughout training by conducting a traditional assessment.")</f>
        <v>Monitor student progress throughout training by conducting a traditional assessment.</v>
      </c>
      <c r="I133" s="2" t="s">
        <v>3498</v>
      </c>
    </row>
    <row r="134">
      <c r="A134" s="50" t="s">
        <v>3036</v>
      </c>
      <c r="B134" s="2">
        <f>IFERROR(__xludf.DUMMYFUNCTION("""COMPUTED_VALUE"""),6.0)</f>
        <v>6</v>
      </c>
      <c r="C134" s="2">
        <f>IFERROR(__xludf.DUMMYFUNCTION("""COMPUTED_VALUE"""),6.0)</f>
        <v>6</v>
      </c>
      <c r="D134" s="2" t="str">
        <f>IFERROR(__xludf.DUMMYFUNCTION("""COMPUTED_VALUE"""),"R1 / R2")</f>
        <v>R1 / R2</v>
      </c>
      <c r="E134" s="2" t="str">
        <f>IFERROR(__xludf.DUMMYFUNCTION("""COMPUTED_VALUE"""),"Assessment")</f>
        <v>Assessment</v>
      </c>
      <c r="F134" s="2" t="str">
        <f>IFERROR(__xludf.DUMMYFUNCTION("""COMPUTED_VALUE"""),"recommendation")</f>
        <v>recommendation</v>
      </c>
      <c r="G134" s="3" t="str">
        <f>IFERROR(__xludf.DUMMYFUNCTION("""COMPUTED_VALUE"""),"a parte da avaliação [...] a recomendação seria tentar bolar [...]algum projeto ou algum desafio no projeto em si que envolva a colaboração entre as pessoas, que sei lá, consiga dividir a turma ali, os alunos em grupos e cada um vai atacar um problema e d"&amp;"epois tudo tem que se unir junto, né? Então, observar [...] eles")</f>
        <v>a parte da avaliação [...] a recomendação seria tentar bolar [...]algum projeto ou algum desafio no projeto em si que envolva a colaboração entre as pessoas, que sei lá, consiga dividir a turma ali, os alunos em grupos e cada um vai atacar um problema e depois tudo tem que se unir junto, né? Então, observar [...] eles</v>
      </c>
      <c r="H134" s="3" t="str">
        <f>IFERROR(__xludf.DUMMYFUNCTION("""COMPUTED_VALUE"""),"Assess students through project and group exercises, more specifically the collaboration of each one within the group.")</f>
        <v>Assess students through project and group exercises, more specifically the collaboration of each one within the group.</v>
      </c>
      <c r="I134" s="2" t="s">
        <v>3499</v>
      </c>
    </row>
    <row r="135">
      <c r="A135" s="50" t="s">
        <v>3037</v>
      </c>
      <c r="B135" s="2">
        <f>IFERROR(__xludf.DUMMYFUNCTION("""COMPUTED_VALUE"""),6.0)</f>
        <v>6</v>
      </c>
      <c r="C135" s="2">
        <f>IFERROR(__xludf.DUMMYFUNCTION("""COMPUTED_VALUE"""),7.0)</f>
        <v>7</v>
      </c>
      <c r="D135" s="2" t="str">
        <f>IFERROR(__xludf.DUMMYFUNCTION("""COMPUTED_VALUE"""),"R2 / R3")</f>
        <v>R2 / R3</v>
      </c>
      <c r="E135" s="2" t="str">
        <f>IFERROR(__xludf.DUMMYFUNCTION("""COMPUTED_VALUE"""),"Curriculum")</f>
        <v>Curriculum</v>
      </c>
      <c r="F135" s="2" t="str">
        <f>IFERROR(__xludf.DUMMYFUNCTION("""COMPUTED_VALUE"""),"recommendation")</f>
        <v>recommendation</v>
      </c>
      <c r="G135" s="3" t="str">
        <f>IFERROR(__xludf.DUMMYFUNCTION("""COMPUTED_VALUE"""),"Uma coisa importante pra mim, que ficou claro durante os meus estudos, é que eu tinha que mostrar de algum jeito o histórico,  a motivação, então eu quis encaixar de qualquer jeito ali no currículo já no começo, mostrando a história do desenvolvimento de "&amp;"software [...] encaixar esses tópicos, assim, mais históricos, que não são bem, não são técnicos, né? Mas de uma maneira que não seja muito maçante também [...] tem que encaixar isso com a parte técnica [...] Com conceitos de  integração contínua, entrega"&amp;" contínua, deploy contínuo, ferramentas, automatização, enfim.")</f>
        <v>Uma coisa importante pra mim, que ficou claro durante os meus estudos, é que eu tinha que mostrar de algum jeito o histórico,  a motivação, então eu quis encaixar de qualquer jeito ali no currículo já no começo, mostrando a história do desenvolvimento de software [...] encaixar esses tópicos, assim, mais históricos, que não são bem, não são técnicos, né? Mas de uma maneira que não seja muito maçante também [...] tem que encaixar isso com a parte técnica [...] Com conceitos de  integração contínua, entrega contínua, deploy contínuo, ferramentas, automatização, enfim.</v>
      </c>
      <c r="H135" s="3" t="str">
        <f>IFERROR(__xludf.DUMMYFUNCTION("""COMPUTED_VALUE"""),"Contextualize the historical aspects and definition of continuous integration, continuous delivery, continuous deployment, and automation concepts.")</f>
        <v>Contextualize the historical aspects and definition of continuous integration, continuous delivery, continuous deployment, and automation concepts.</v>
      </c>
      <c r="I135" s="2" t="s">
        <v>3500</v>
      </c>
    </row>
    <row r="136">
      <c r="A136" s="50" t="s">
        <v>3039</v>
      </c>
      <c r="B136" s="2">
        <f>IFERROR(__xludf.DUMMYFUNCTION("""COMPUTED_VALUE"""),6.0)</f>
        <v>6</v>
      </c>
      <c r="C136" s="2">
        <f>IFERROR(__xludf.DUMMYFUNCTION("""COMPUTED_VALUE"""),7.0)</f>
        <v>7</v>
      </c>
      <c r="D136" s="2" t="str">
        <f>IFERROR(__xludf.DUMMYFUNCTION("""COMPUTED_VALUE"""),"R2 / R3")</f>
        <v>R2 / R3</v>
      </c>
      <c r="E136" s="2" t="str">
        <f>IFERROR(__xludf.DUMMYFUNCTION("""COMPUTED_VALUE"""),"Curriculum")</f>
        <v>Curriculum</v>
      </c>
      <c r="F136" s="2" t="str">
        <f>IFERROR(__xludf.DUMMYFUNCTION("""COMPUTED_VALUE"""),"recommendation")</f>
        <v>recommendation</v>
      </c>
      <c r="G136" s="3" t="str">
        <f>IFERROR(__xludf.DUMMYFUNCTION("""COMPUTED_VALUE""")," eu tinha que mostrar de algum jeito o histórico... a história do desenvolvimento de software, mostrando sobre os processos, né? O cascata, RUP, ágil, falar bastante do ágil, porque tá relacionado e encaixar esses tópicos, assim, mais históricos, que não "&amp;"são bem, não são técnicos... E fazer um paralelo, aí, com o mundo ágil com os problemas que o Devops veio resolver, né?")</f>
        <v> eu tinha que mostrar de algum jeito o histórico... a história do desenvolvimento de software, mostrando sobre os processos, né? O cascata, RUP, ágil, falar bastante do ágil, porque tá relacionado e encaixar esses tópicos, assim, mais históricos, que não são bem, não são técnicos... E fazer um paralelo, aí, com o mundo ágil com os problemas que o Devops veio resolver, né?</v>
      </c>
      <c r="H136" s="3" t="str">
        <f>IFERROR(__xludf.DUMMYFUNCTION("""COMPUTED_VALUE"""),"It is important to show the relationship of DevOps with software development models, notably Agile.")</f>
        <v>It is important to show the relationship of DevOps with software development models, notably Agile.</v>
      </c>
      <c r="I136" s="2" t="s">
        <v>3501</v>
      </c>
    </row>
    <row r="137">
      <c r="A137" s="50" t="s">
        <v>3040</v>
      </c>
      <c r="B137" s="2">
        <f>IFERROR(__xludf.DUMMYFUNCTION("""COMPUTED_VALUE"""),6.0)</f>
        <v>6</v>
      </c>
      <c r="C137" s="2">
        <f>IFERROR(__xludf.DUMMYFUNCTION("""COMPUTED_VALUE"""),8.0)</f>
        <v>8</v>
      </c>
      <c r="D137" s="2" t="str">
        <f>IFERROR(__xludf.DUMMYFUNCTION("""COMPUTED_VALUE"""),"R1 / R3")</f>
        <v>R1 / R3</v>
      </c>
      <c r="E137" s="2" t="str">
        <f>IFERROR(__xludf.DUMMYFUNCTION("""COMPUTED_VALUE"""),"Pedagogy")</f>
        <v>Pedagogy</v>
      </c>
      <c r="F137" s="2" t="str">
        <f>IFERROR(__xludf.DUMMYFUNCTION("""COMPUTED_VALUE"""),"recommendation")</f>
        <v>recommendation</v>
      </c>
      <c r="G137" s="3" t="str">
        <f>IFERROR(__xludf.DUMMYFUNCTION("""COMPUTED_VALUE"""),"De já deixar tudo pronto pra evitar problemas e perder o foco e a essência ali da turma.")</f>
        <v>De já deixar tudo pronto pra evitar problemas e perder o foco e a essência ali da turma.</v>
      </c>
      <c r="H137" s="3" t="str">
        <f>IFERROR(__xludf.DUMMYFUNCTION("""COMPUTED_VALUE"""),"Start a class with a pre-organized structure.")</f>
        <v>Start a class with a pre-organized structure.</v>
      </c>
      <c r="I137" s="2" t="s">
        <v>3502</v>
      </c>
    </row>
    <row r="138">
      <c r="A138" s="50" t="s">
        <v>3042</v>
      </c>
      <c r="B138" s="2">
        <f>IFERROR(__xludf.DUMMYFUNCTION("""COMPUTED_VALUE"""),7.0)</f>
        <v>7</v>
      </c>
      <c r="C138" s="2">
        <f>IFERROR(__xludf.DUMMYFUNCTION("""COMPUTED_VALUE"""),1.0)</f>
        <v>1</v>
      </c>
      <c r="D138" s="2" t="str">
        <f>IFERROR(__xludf.DUMMYFUNCTION("""COMPUTED_VALUE"""),"R1 / R2")</f>
        <v>R1 / R2</v>
      </c>
      <c r="E138" s="2" t="str">
        <f>IFERROR(__xludf.DUMMYFUNCTION("""COMPUTED_VALUE"""),"General Challenges and Recommendations")</f>
        <v>General Challenges and Recommendations</v>
      </c>
      <c r="F138" s="2" t="str">
        <f>IFERROR(__xludf.DUMMYFUNCTION("""COMPUTED_VALUE"""),"recommendation")</f>
        <v>recommendation</v>
      </c>
      <c r="G138" s="3" t="str">
        <f>IFERROR(__xludf.DUMMYFUNCTION("""COMPUTED_VALUE"""),"Não dá pra você ensinar DevOps só na teoria, você tem que vivenciar, você tem que ter experimentações práticas para isso.")</f>
        <v>Não dá pra você ensinar DevOps só na teoria, você tem que vivenciar, você tem que ter experimentações práticas para isso.</v>
      </c>
      <c r="H138" s="3" t="str">
        <f>IFERROR(__xludf.DUMMYFUNCTION("""COMPUTED_VALUE"""),"Teaching devops should be practical, not just theoretical.")</f>
        <v>Teaching devops should be practical, not just theoretical.</v>
      </c>
      <c r="I138" s="2" t="s">
        <v>3503</v>
      </c>
    </row>
    <row r="139">
      <c r="A139" s="50" t="s">
        <v>3044</v>
      </c>
      <c r="B139" s="2">
        <f>IFERROR(__xludf.DUMMYFUNCTION("""COMPUTED_VALUE"""),7.0)</f>
        <v>7</v>
      </c>
      <c r="C139" s="2">
        <f>IFERROR(__xludf.DUMMYFUNCTION("""COMPUTED_VALUE"""),1.0)</f>
        <v>1</v>
      </c>
      <c r="D139" s="2" t="str">
        <f>IFERROR(__xludf.DUMMYFUNCTION("""COMPUTED_VALUE"""),"R1 / R2")</f>
        <v>R1 / R2</v>
      </c>
      <c r="E139" s="2" t="str">
        <f>IFERROR(__xludf.DUMMYFUNCTION("""COMPUTED_VALUE"""),"General Challenges and Recommendations")</f>
        <v>General Challenges and Recommendations</v>
      </c>
      <c r="F139" s="2" t="str">
        <f>IFERROR(__xludf.DUMMYFUNCTION("""COMPUTED_VALUE"""),"recommendation")</f>
        <v>recommendation</v>
      </c>
      <c r="G139" s="3" t="str">
        <f>IFERROR(__xludf.DUMMYFUNCTION("""COMPUTED_VALUE""")," construir toda essa jornada com base em atividades ou missões práticas, incrementais e que estejam todas correlacionadas para que as lições aprendidas durante essas atividades práticas e revisitação da teoria do conhecimento, possam desaguar num projeto "&amp;"que envolve um conjunto de tomadas de decisão, que também vai além dos assuntos teoricamente abordados na sala")</f>
        <v> construir toda essa jornada com base em atividades ou missões práticas, incrementais e que estejam todas correlacionadas para que as lições aprendidas durante essas atividades práticas e revisitação da teoria do conhecimento, possam desaguar num projeto que envolve um conjunto de tomadas de decisão, que também vai além dos assuntos teoricamente abordados na sala</v>
      </c>
      <c r="H139" s="3" t="str">
        <f>IFERROR(__xludf.DUMMYFUNCTION("""COMPUTED_VALUE"""),"Build an incremental teaching journey based on activities and missions, always combining practical activities with theoretical knowledge.")</f>
        <v>Build an incremental teaching journey based on activities and missions, always combining practical activities with theoretical knowledge.</v>
      </c>
      <c r="I139" s="2" t="s">
        <v>3504</v>
      </c>
    </row>
    <row r="140">
      <c r="A140" s="50" t="s">
        <v>3045</v>
      </c>
      <c r="B140" s="2">
        <f>IFERROR(__xludf.DUMMYFUNCTION("""COMPUTED_VALUE"""),7.0)</f>
        <v>7</v>
      </c>
      <c r="C140" s="2">
        <f>IFERROR(__xludf.DUMMYFUNCTION("""COMPUTED_VALUE"""),1.0)</f>
        <v>1</v>
      </c>
      <c r="D140" s="2" t="str">
        <f>IFERROR(__xludf.DUMMYFUNCTION("""COMPUTED_VALUE"""),"R1 / R2")</f>
        <v>R1 / R2</v>
      </c>
      <c r="E140" s="2" t="str">
        <f>IFERROR(__xludf.DUMMYFUNCTION("""COMPUTED_VALUE"""),"General Challenges and Recommendations")</f>
        <v>General Challenges and Recommendations</v>
      </c>
      <c r="F140" s="2" t="str">
        <f>IFERROR(__xludf.DUMMYFUNCTION("""COMPUTED_VALUE"""),"recommendation")</f>
        <v>recommendation</v>
      </c>
      <c r="G140" s="3" t="str">
        <f>IFERROR(__xludf.DUMMYFUNCTION("""COMPUTED_VALUE"""),"trabalhar tanto os aspectos teóricos necessários para entendimento do porquê das coisas em DevOps são em SRE como um todo [...] você tem que ter isso. ")</f>
        <v>trabalhar tanto os aspectos teóricos necessários para entendimento do porquê das coisas em DevOps são em SRE como um todo [...] você tem que ter isso. </v>
      </c>
      <c r="H140" s="3" t="str">
        <f>IFERROR(__xludf.DUMMYFUNCTION("""COMPUTED_VALUE"""),"Relate devops to site reliability engineering (sre) for students.")</f>
        <v>Relate devops to site reliability engineering (sre) for students.</v>
      </c>
      <c r="I140" s="2" t="s">
        <v>3505</v>
      </c>
    </row>
    <row r="141">
      <c r="A141" s="50" t="s">
        <v>3046</v>
      </c>
      <c r="B141" s="2">
        <f>IFERROR(__xludf.DUMMYFUNCTION("""COMPUTED_VALUE"""),7.0)</f>
        <v>7</v>
      </c>
      <c r="C141" s="2">
        <f>IFERROR(__xludf.DUMMYFUNCTION("""COMPUTED_VALUE"""),1.0)</f>
        <v>1</v>
      </c>
      <c r="D141" s="2" t="str">
        <f>IFERROR(__xludf.DUMMYFUNCTION("""COMPUTED_VALUE"""),"R1 / R2")</f>
        <v>R1 / R2</v>
      </c>
      <c r="E141" s="2" t="str">
        <f>IFERROR(__xludf.DUMMYFUNCTION("""COMPUTED_VALUE"""),"General Challenges and Recommendations")</f>
        <v>General Challenges and Recommendations</v>
      </c>
      <c r="F141" s="2" t="str">
        <f>IFERROR(__xludf.DUMMYFUNCTION("""COMPUTED_VALUE"""),"recommendation")</f>
        <v>recommendation</v>
      </c>
      <c r="G141" s="3" t="str">
        <f>IFERROR(__xludf.DUMMYFUNCTION("""COMPUTED_VALUE"""),"e eu acho que prova não ia ser um negócio legal, senão ia ser mais ou menos certificação da, da AWS, por exemplo, do Azure, Google, e não é este propósito. [...] Fazer prova, escrita, aberta assim eu não gosto, eu não gosto do modelo de prova como avaliaç"&amp;"ão, eu não acho que é legal, prefiro trabalhar com coisas mais práticas. ")</f>
        <v>e eu acho que prova não ia ser um negócio legal, senão ia ser mais ou menos certificação da, da AWS, por exemplo, do Azure, Google, e não é este propósito. [...] Fazer prova, escrita, aberta assim eu não gosto, eu não gosto do modelo de prova como avaliação, eu não acho que é legal, prefiro trabalhar com coisas mais práticas. </v>
      </c>
      <c r="H141" s="3" t="str">
        <f>IFERROR(__xludf.DUMMYFUNCTION("""COMPUTED_VALUE"""),"The assessment must be practical.")</f>
        <v>The assessment must be practical.</v>
      </c>
      <c r="I141" s="2" t="s">
        <v>3506</v>
      </c>
    </row>
    <row r="142">
      <c r="A142" s="50" t="s">
        <v>3047</v>
      </c>
      <c r="B142" s="2">
        <f>IFERROR(__xludf.DUMMYFUNCTION("""COMPUTED_VALUE"""),7.0)</f>
        <v>7</v>
      </c>
      <c r="C142" s="2">
        <f>IFERROR(__xludf.DUMMYFUNCTION("""COMPUTED_VALUE"""),1.0)</f>
        <v>1</v>
      </c>
      <c r="D142" s="2" t="str">
        <f>IFERROR(__xludf.DUMMYFUNCTION("""COMPUTED_VALUE"""),"R1 / R2")</f>
        <v>R1 / R2</v>
      </c>
      <c r="E142" s="2" t="str">
        <f>IFERROR(__xludf.DUMMYFUNCTION("""COMPUTED_VALUE"""),"General Challenges and Recommendations")</f>
        <v>General Challenges and Recommendations</v>
      </c>
      <c r="F142" s="2" t="str">
        <f>IFERROR(__xludf.DUMMYFUNCTION("""COMPUTED_VALUE"""),"recommendation")</f>
        <v>recommendation</v>
      </c>
      <c r="G142" s="3" t="str">
        <f>IFERROR(__xludf.DUMMYFUNCTION("""COMPUTED_VALUE"""),"Então, eu procuro, sempre, nessas minhas atividades, colocar um um Delta de tomada de decisão que compete ao time, né? Aos alunos e que obviamente vai avaliar o entendimento deles perante todas as discussões do semestre. Então, todas as decisões são válid"&amp;"as, obviamente, né?")</f>
        <v>Então, eu procuro, sempre, nessas minhas atividades, colocar um um Delta de tomada de decisão que compete ao time, né? Aos alunos e que obviamente vai avaliar o entendimento deles perante todas as discussões do semestre. Então, todas as decisões são válidas, obviamente, né?</v>
      </c>
      <c r="H142" s="3" t="str">
        <f>IFERROR(__xludf.DUMMYFUNCTION("""COMPUTED_VALUE"""),"Promote and evaluate students' independent decision-making in the learning process.")</f>
        <v>Promote and evaluate students' independent decision-making in the learning process.</v>
      </c>
      <c r="I142" s="2" t="s">
        <v>3507</v>
      </c>
    </row>
    <row r="143">
      <c r="A143" s="50" t="s">
        <v>3049</v>
      </c>
      <c r="B143" s="2">
        <f>IFERROR(__xludf.DUMMYFUNCTION("""COMPUTED_VALUE"""),7.0)</f>
        <v>7</v>
      </c>
      <c r="C143" s="2">
        <f>IFERROR(__xludf.DUMMYFUNCTION("""COMPUTED_VALUE"""),2.0)</f>
        <v>2</v>
      </c>
      <c r="D143" s="2" t="str">
        <f>IFERROR(__xludf.DUMMYFUNCTION("""COMPUTED_VALUE"""),"R2 / R3")</f>
        <v>R2 / R3</v>
      </c>
      <c r="E143" s="2" t="str">
        <f>IFERROR(__xludf.DUMMYFUNCTION("""COMPUTED_VALUE"""),"Environment Setup")</f>
        <v>Environment Setup</v>
      </c>
      <c r="F143" s="2" t="str">
        <f>IFERROR(__xludf.DUMMYFUNCTION("""COMPUTED_VALUE"""),"recommendation")</f>
        <v>recommendation</v>
      </c>
      <c r="G143" s="3" t="str">
        <f>IFERROR(__xludf.DUMMYFUNCTION("""COMPUTED_VALUE"""),"todo mundo já tá usando o Google ou a Amazon, com seus ambientes Kubernetes disponibilizados para você utilizar.")</f>
        <v>todo mundo já tá usando o Google ou a Amazon, com seus ambientes Kubernetes disponibilizados para você utilizar.</v>
      </c>
      <c r="H143" s="3" t="str">
        <f>IFERROR(__xludf.DUMMYFUNCTION("""COMPUTED_VALUE"""),"Use available cloud services (AWS, Google) with Kubernetes.")</f>
        <v>Use available cloud services (AWS, Google) with Kubernetes.</v>
      </c>
      <c r="I143" s="2" t="s">
        <v>3508</v>
      </c>
    </row>
    <row r="144">
      <c r="A144" s="50" t="s">
        <v>3050</v>
      </c>
      <c r="B144" s="2">
        <f>IFERROR(__xludf.DUMMYFUNCTION("""COMPUTED_VALUE"""),7.0)</f>
        <v>7</v>
      </c>
      <c r="C144" s="2">
        <f>IFERROR(__xludf.DUMMYFUNCTION("""COMPUTED_VALUE"""),3.0)</f>
        <v>3</v>
      </c>
      <c r="D144" s="2" t="str">
        <f>IFERROR(__xludf.DUMMYFUNCTION("""COMPUTED_VALUE"""),"R1 / R3")</f>
        <v>R1 / R3</v>
      </c>
      <c r="E144" s="2" t="str">
        <f>IFERROR(__xludf.DUMMYFUNCTION("""COMPUTED_VALUE"""),"DevOps Concepts")</f>
        <v>DevOps Concepts</v>
      </c>
      <c r="F144" s="2" t="str">
        <f>IFERROR(__xludf.DUMMYFUNCTION("""COMPUTED_VALUE"""),"recommendation")</f>
        <v>recommendation</v>
      </c>
      <c r="G144" s="3" t="str">
        <f>IFERROR(__xludf.DUMMYFUNCTION("""COMPUTED_VALUE"""),"Assim, DevOps e SRE são conceitos que nasceram muito mais fortemente na prática do que no estado da arte, ou seja, muito mais na indústria do que necessariamente na universidade. Então você tratar desses conceitos sem fazer uma real explanação, ou trazer "&amp;"os principais players de como eles fizeram e por que eles fizeram, é fundamental. ")</f>
        <v>Assim, DevOps e SRE são conceitos que nasceram muito mais fortemente na prática do que no estado da arte, ou seja, muito mais na indústria do que necessariamente na universidade. Então você tratar desses conceitos sem fazer uma real explanação, ou trazer os principais players de como eles fizeram e por que eles fizeram, é fundamental. </v>
      </c>
      <c r="H144" s="3" t="str">
        <f>IFERROR(__xludf.DUMMYFUNCTION("""COMPUTED_VALUE"""),"Show the historical importance of DevOps and SRE concepts from the main players in the industry.")</f>
        <v>Show the historical importance of DevOps and SRE concepts from the main players in the industry.</v>
      </c>
      <c r="I144" s="2" t="s">
        <v>3509</v>
      </c>
    </row>
    <row r="145">
      <c r="A145" s="50" t="s">
        <v>3052</v>
      </c>
      <c r="B145" s="2">
        <f>IFERROR(__xludf.DUMMYFUNCTION("""COMPUTED_VALUE"""),7.0)</f>
        <v>7</v>
      </c>
      <c r="C145" s="2">
        <f>IFERROR(__xludf.DUMMYFUNCTION("""COMPUTED_VALUE"""),3.0)</f>
        <v>3</v>
      </c>
      <c r="D145" s="2" t="str">
        <f>IFERROR(__xludf.DUMMYFUNCTION("""COMPUTED_VALUE"""),"R1 / R3")</f>
        <v>R1 / R3</v>
      </c>
      <c r="E145" s="2" t="str">
        <f>IFERROR(__xludf.DUMMYFUNCTION("""COMPUTED_VALUE"""),"DevOps Concepts")</f>
        <v>DevOps Concepts</v>
      </c>
      <c r="F145" s="2" t="str">
        <f>IFERROR(__xludf.DUMMYFUNCTION("""COMPUTED_VALUE"""),"recommendation")</f>
        <v>recommendation</v>
      </c>
      <c r="G145" s="3" t="str">
        <f>IFERROR(__xludf.DUMMYFUNCTION("""COMPUTED_VALUE"""),"boa parte das referências, dos casos mais interessantes que eu considerei pra levar pra sala são posts na INFO2, no Metzone, Hacker News, posts do Twitter, estudo de caso do Airbnb, Glitch, Orbitz e tal; outros casos desses que são muito mais interessante"&amp;"s do que necessariamente, livros ou artigos “acadêmicos científicos”,")</f>
        <v>boa parte das referências, dos casos mais interessantes que eu considerei pra levar pra sala são posts na INFO2, no Metzone, Hacker News, posts do Twitter, estudo de caso do Airbnb, Glitch, Orbitz e tal; outros casos desses que são muito mais interessantes do que necessariamente, livros ou artigos “acadêmicos científicos”,</v>
      </c>
      <c r="H145" s="3" t="str">
        <f>IFERROR(__xludf.DUMMYFUNCTION("""COMPUTED_VALUE"""),"Information in gray literature is more interesting to illustrate DevOps use cases: posts on INFO2, Metzone, Hacker News, Twitter, Airbnb case studies, Glitch, Orbitz.")</f>
        <v>Information in gray literature is more interesting to illustrate DevOps use cases: posts on INFO2, Metzone, Hacker News, Twitter, Airbnb case studies, Glitch, Orbitz.</v>
      </c>
      <c r="I145" s="2" t="s">
        <v>3510</v>
      </c>
    </row>
    <row r="146">
      <c r="A146" s="50" t="s">
        <v>3053</v>
      </c>
      <c r="B146" s="2">
        <f>IFERROR(__xludf.DUMMYFUNCTION("""COMPUTED_VALUE"""),7.0)</f>
        <v>7</v>
      </c>
      <c r="C146" s="2">
        <f>IFERROR(__xludf.DUMMYFUNCTION("""COMPUTED_VALUE"""),3.0)</f>
        <v>3</v>
      </c>
      <c r="D146" s="2" t="str">
        <f>IFERROR(__xludf.DUMMYFUNCTION("""COMPUTED_VALUE"""),"R1 / R3")</f>
        <v>R1 / R3</v>
      </c>
      <c r="E146" s="2" t="str">
        <f>IFERROR(__xludf.DUMMYFUNCTION("""COMPUTED_VALUE"""),"DevOps Concepts")</f>
        <v>DevOps Concepts</v>
      </c>
      <c r="F146" s="2" t="str">
        <f>IFERROR(__xludf.DUMMYFUNCTION("""COMPUTED_VALUE"""),"recommendation")</f>
        <v>recommendation</v>
      </c>
      <c r="G146" s="3" t="str">
        <f>IFERROR(__xludf.DUMMYFUNCTION("""COMPUTED_VALUE""")," é trazer o conceito aplicado, aí use uma abordagem tipo CDL, ou PBL, tal, ajuda bastante nisso, porque aí você tem como apresentar o problema e depois mostrar qual o conceito por trás da resolução daquele problema.")</f>
        <v> é trazer o conceito aplicado, aí use uma abordagem tipo CDL, ou PBL, tal, ajuda bastante nisso, porque aí você tem como apresentar o problema e depois mostrar qual o conceito por trás da resolução daquele problema.</v>
      </c>
      <c r="H146" s="3" t="str">
        <f>IFERROR(__xludf.DUMMYFUNCTION("""COMPUTED_VALUE"""),"Make use of the Comprehensive Distance Learning (CDL) teaching methodology.")</f>
        <v>Make use of the Comprehensive Distance Learning (CDL) teaching methodology.</v>
      </c>
      <c r="I146" s="2" t="s">
        <v>3511</v>
      </c>
    </row>
    <row r="147">
      <c r="A147" s="50" t="s">
        <v>3512</v>
      </c>
      <c r="B147" s="2">
        <f>IFERROR(__xludf.DUMMYFUNCTION("""COMPUTED_VALUE"""),7.0)</f>
        <v>7</v>
      </c>
      <c r="C147" s="2">
        <f>IFERROR(__xludf.DUMMYFUNCTION("""COMPUTED_VALUE"""),3.0)</f>
        <v>3</v>
      </c>
      <c r="D147" s="2" t="str">
        <f>IFERROR(__xludf.DUMMYFUNCTION("""COMPUTED_VALUE"""),"R1 / R3")</f>
        <v>R1 / R3</v>
      </c>
      <c r="E147" s="2" t="str">
        <f>IFERROR(__xludf.DUMMYFUNCTION("""COMPUTED_VALUE"""),"DevOps Concepts")</f>
        <v>DevOps Concepts</v>
      </c>
      <c r="F147" s="2" t="str">
        <f>IFERROR(__xludf.DUMMYFUNCTION("""COMPUTED_VALUE"""),"recommendation")</f>
        <v>recommendation</v>
      </c>
      <c r="G147" s="3" t="str">
        <f>IFERROR(__xludf.DUMMYFUNCTION("""COMPUTED_VALUE""")," é trazer o conceito aplicado, aí use uma abordagem tipo CDL, ou PBL, tal, ajuda bastante nisso, porque aí você tem como apresentar o problema e depois mostrar qual o conceito por trás da resolução daquele problema.")</f>
        <v> é trazer o conceito aplicado, aí use uma abordagem tipo CDL, ou PBL, tal, ajuda bastante nisso, porque aí você tem como apresentar o problema e depois mostrar qual o conceito por trás da resolução daquele problema.</v>
      </c>
      <c r="H147" s="3" t="str">
        <f>IFERROR(__xludf.DUMMYFUNCTION("""COMPUTED_VALUE"""),"Problem-Based Learning (PBL) is great for teaching DevOps.")</f>
        <v>Problem-Based Learning (PBL) is great for teaching DevOps.</v>
      </c>
      <c r="I147" s="2" t="s">
        <v>3513</v>
      </c>
    </row>
    <row r="148">
      <c r="A148" s="50" t="s">
        <v>3054</v>
      </c>
      <c r="B148" s="2">
        <f>IFERROR(__xludf.DUMMYFUNCTION("""COMPUTED_VALUE"""),7.0)</f>
        <v>7</v>
      </c>
      <c r="C148" s="2">
        <f>IFERROR(__xludf.DUMMYFUNCTION("""COMPUTED_VALUE"""),3.0)</f>
        <v>3</v>
      </c>
      <c r="D148" s="2" t="str">
        <f>IFERROR(__xludf.DUMMYFUNCTION("""COMPUTED_VALUE"""),"R1 / R3")</f>
        <v>R1 / R3</v>
      </c>
      <c r="E148" s="2" t="str">
        <f>IFERROR(__xludf.DUMMYFUNCTION("""COMPUTED_VALUE"""),"DevOps Concepts")</f>
        <v>DevOps Concepts</v>
      </c>
      <c r="F148" s="2" t="str">
        <f>IFERROR(__xludf.DUMMYFUNCTION("""COMPUTED_VALUE"""),"recommendation")</f>
        <v>recommendation</v>
      </c>
      <c r="G148" s="3" t="str">
        <f>IFERROR(__xludf.DUMMYFUNCTION("""COMPUTED_VALUE"""),"DevOps se aproxima muito nessas peculiaridades de cadeiras tipo arquitetura de software. Não dá pra você ficar só nos conceitos, na teoria, você tem que mostrar a concretização dessas coisas.")</f>
        <v>DevOps se aproxima muito nessas peculiaridades de cadeiras tipo arquitetura de software. Não dá pra você ficar só nos conceitos, na teoria, você tem que mostrar a concretização dessas coisas.</v>
      </c>
      <c r="H148" s="3" t="str">
        <f>IFERROR(__xludf.DUMMYFUNCTION("""COMPUTED_VALUE"""),"It takes practice to understand DevOps concepts.")</f>
        <v>It takes practice to understand DevOps concepts.</v>
      </c>
      <c r="I148" s="2" t="s">
        <v>3514</v>
      </c>
    </row>
    <row r="149">
      <c r="A149" s="50" t="s">
        <v>3055</v>
      </c>
      <c r="B149" s="2">
        <f>IFERROR(__xludf.DUMMYFUNCTION("""COMPUTED_VALUE"""),7.0)</f>
        <v>7</v>
      </c>
      <c r="C149" s="2">
        <f>IFERROR(__xludf.DUMMYFUNCTION("""COMPUTED_VALUE"""),4.0)</f>
        <v>4</v>
      </c>
      <c r="D149" s="2" t="str">
        <f>IFERROR(__xludf.DUMMYFUNCTION("""COMPUTED_VALUE"""),"R1 / R3")</f>
        <v>R1 / R3</v>
      </c>
      <c r="E149" s="2" t="str">
        <f>IFERROR(__xludf.DUMMYFUNCTION("""COMPUTED_VALUE"""),"Class Preparation")</f>
        <v>Class Preparation</v>
      </c>
      <c r="F149" s="2" t="str">
        <f>IFERROR(__xludf.DUMMYFUNCTION("""COMPUTED_VALUE"""),"recommendation")</f>
        <v>recommendation</v>
      </c>
      <c r="G149" s="3" t="str">
        <f>IFERROR(__xludf.DUMMYFUNCTION("""COMPUTED_VALUE"""),"Eu costumo estudar bastante o assunto em si, para entender e depois ver qual é a melhor forma de explicar aquele assunto. ")</f>
        <v>Eu costumo estudar bastante o assunto em si, para entender e depois ver qual é a melhor forma de explicar aquele assunto. </v>
      </c>
      <c r="H149" s="3" t="str">
        <f>IFERROR(__xludf.DUMMYFUNCTION("""COMPUTED_VALUE"""),"Study the subject thoroughly before preparing for classes.")</f>
        <v>Study the subject thoroughly before preparing for classes.</v>
      </c>
      <c r="I149" s="2" t="s">
        <v>3515</v>
      </c>
    </row>
    <row r="150">
      <c r="A150" s="50" t="s">
        <v>3056</v>
      </c>
      <c r="B150" s="2">
        <f>IFERROR(__xludf.DUMMYFUNCTION("""COMPUTED_VALUE"""),7.0)</f>
        <v>7</v>
      </c>
      <c r="C150" s="2">
        <f>IFERROR(__xludf.DUMMYFUNCTION("""COMPUTED_VALUE"""),4.0)</f>
        <v>4</v>
      </c>
      <c r="D150" s="2" t="str">
        <f>IFERROR(__xludf.DUMMYFUNCTION("""COMPUTED_VALUE"""),"R1 / R3")</f>
        <v>R1 / R3</v>
      </c>
      <c r="E150" s="2" t="str">
        <f>IFERROR(__xludf.DUMMYFUNCTION("""COMPUTED_VALUE"""),"Class Preparation")</f>
        <v>Class Preparation</v>
      </c>
      <c r="F150" s="2" t="str">
        <f>IFERROR(__xludf.DUMMYFUNCTION("""COMPUTED_VALUE"""),"recommendation")</f>
        <v>recommendation</v>
      </c>
      <c r="G150" s="3" t="str">
        <f>IFERROR(__xludf.DUMMYFUNCTION("""COMPUTED_VALUE"""),"você propor as dinâmicas, ter essas coisas pra mexer com a turma, porque senão fica tão muito chato.")</f>
        <v>você propor as dinâmicas, ter essas coisas pra mexer com a turma, porque senão fica tão muito chato.</v>
      </c>
      <c r="H150" s="3" t="str">
        <f>IFERROR(__xludf.DUMMYFUNCTION("""COMPUTED_VALUE"""),"Use dynamics to inspire the class.")</f>
        <v>Use dynamics to inspire the class.</v>
      </c>
      <c r="I150" s="2" t="s">
        <v>3516</v>
      </c>
    </row>
    <row r="151">
      <c r="A151" s="50" t="s">
        <v>3058</v>
      </c>
      <c r="B151" s="2">
        <f>IFERROR(__xludf.DUMMYFUNCTION("""COMPUTED_VALUE"""),7.0)</f>
        <v>7</v>
      </c>
      <c r="C151" s="2">
        <f>IFERROR(__xludf.DUMMYFUNCTION("""COMPUTED_VALUE"""),5.0)</f>
        <v>5</v>
      </c>
      <c r="D151" s="2" t="str">
        <f>IFERROR(__xludf.DUMMYFUNCTION("""COMPUTED_VALUE"""),"R1 / R3")</f>
        <v>R1 / R3</v>
      </c>
      <c r="E151" s="2" t="str">
        <f>IFERROR(__xludf.DUMMYFUNCTION("""COMPUTED_VALUE"""),"Tool / Technology")</f>
        <v>Tool / Technology</v>
      </c>
      <c r="F151" s="2" t="str">
        <f>IFERROR(__xludf.DUMMYFUNCTION("""COMPUTED_VALUE"""),"recommendation")</f>
        <v>recommendation</v>
      </c>
      <c r="G151" s="3" t="str">
        <f>IFERROR(__xludf.DUMMYFUNCTION("""COMPUTED_VALUE"""),"A recomendação é ver o que o mercado tá utilizando, né? E tentar ir pelo que é mais utilizado, tipo, não adiantava eu mexer com CRIO se todo mundo usa Docker. ")</f>
        <v>A recomendação é ver o que o mercado tá utilizando, né? E tentar ir pelo que é mais utilizado, tipo, não adiantava eu mexer com CRIO se todo mundo usa Docker. </v>
      </c>
      <c r="H151" s="3" t="str">
        <f>IFERROR(__xludf.DUMMYFUNCTION("""COMPUTED_VALUE"""),"Use the most relevant tools on the market like Docker.")</f>
        <v>Use the most relevant tools on the market like Docker.</v>
      </c>
      <c r="I151" s="2" t="s">
        <v>3517</v>
      </c>
    </row>
    <row r="152">
      <c r="A152" s="50" t="s">
        <v>3060</v>
      </c>
      <c r="B152" s="2">
        <f>IFERROR(__xludf.DUMMYFUNCTION("""COMPUTED_VALUE"""),7.0)</f>
        <v>7</v>
      </c>
      <c r="C152" s="2">
        <f>IFERROR(__xludf.DUMMYFUNCTION("""COMPUTED_VALUE"""),5.0)</f>
        <v>5</v>
      </c>
      <c r="D152" s="2" t="str">
        <f>IFERROR(__xludf.DUMMYFUNCTION("""COMPUTED_VALUE"""),"R1 / R3")</f>
        <v>R1 / R3</v>
      </c>
      <c r="E152" s="2" t="str">
        <f>IFERROR(__xludf.DUMMYFUNCTION("""COMPUTED_VALUE"""),"Tool / Technology")</f>
        <v>Tool / Technology</v>
      </c>
      <c r="F152" s="2" t="str">
        <f>IFERROR(__xludf.DUMMYFUNCTION("""COMPUTED_VALUE"""),"recommendation")</f>
        <v>recommendation</v>
      </c>
      <c r="G152" s="3" t="str">
        <f>IFERROR(__xludf.DUMMYFUNCTION("""COMPUTED_VALUE"""),"eu procuro trazer isso: Mesos, Marathon, depois o Swarm, até para exercitar os conceitos é mais fácil, mais leve do que o Kubernetes, e aí depois de Kubernetes, Rancher, por exemplo")</f>
        <v>eu procuro trazer isso: Mesos, Marathon, depois o Swarm, até para exercitar os conceitos é mais fácil, mais leve do que o Kubernetes, e aí depois de Kubernetes, Rancher, por exemplo</v>
      </c>
      <c r="H152" s="3" t="str">
        <f>IFERROR(__xludf.DUMMYFUNCTION("""COMPUTED_VALUE"""),"Initially, adopt more straightforward tools such as Mesos, Marathon, and Docker Swarm before using the Kubernetes tool.")</f>
        <v>Initially, adopt more straightforward tools such as Mesos, Marathon, and Docker Swarm before using the Kubernetes tool.</v>
      </c>
      <c r="I152" s="2" t="s">
        <v>3518</v>
      </c>
    </row>
    <row r="153">
      <c r="A153" s="50" t="s">
        <v>3061</v>
      </c>
      <c r="B153" s="2">
        <f>IFERROR(__xludf.DUMMYFUNCTION("""COMPUTED_VALUE"""),7.0)</f>
        <v>7</v>
      </c>
      <c r="C153" s="2">
        <f>IFERROR(__xludf.DUMMYFUNCTION("""COMPUTED_VALUE"""),6.0)</f>
        <v>6</v>
      </c>
      <c r="D153" s="2" t="str">
        <f>IFERROR(__xludf.DUMMYFUNCTION("""COMPUTED_VALUE"""),"R1 / R2")</f>
        <v>R1 / R2</v>
      </c>
      <c r="E153" s="2" t="str">
        <f>IFERROR(__xludf.DUMMYFUNCTION("""COMPUTED_VALUE"""),"Assessment")</f>
        <v>Assessment</v>
      </c>
      <c r="F153" s="2" t="str">
        <f>IFERROR(__xludf.DUMMYFUNCTION("""COMPUTED_VALUE"""),"recommendation")</f>
        <v>recommendation</v>
      </c>
      <c r="G153" s="3" t="str">
        <f>IFERROR(__xludf.DUMMYFUNCTION("""COMPUTED_VALUE"""),"Algumas configurações que você pode ter pra gente ajudar, tipo, ah, você tem a equipe de monitores, por exemplo, isso te permite seguir para uma linha prática mais legal, porque tu vai ter mais braço pra te ajudar, avaliar e tudo mais.")</f>
        <v>Algumas configurações que você pode ter pra gente ajudar, tipo, ah, você tem a equipe de monitores, por exemplo, isso te permite seguir para uma linha prática mais legal, porque tu vai ter mais braço pra te ajudar, avaliar e tudo mais.</v>
      </c>
      <c r="H153" s="3" t="str">
        <f>IFERROR(__xludf.DUMMYFUNCTION("""COMPUTED_VALUE"""),"If possible, have a team of monitors to assist in the assessment process.")</f>
        <v>If possible, have a team of monitors to assist in the assessment process.</v>
      </c>
      <c r="I153" s="2" t="s">
        <v>3519</v>
      </c>
    </row>
    <row r="154">
      <c r="A154" s="50" t="s">
        <v>3062</v>
      </c>
      <c r="B154" s="2">
        <f>IFERROR(__xludf.DUMMYFUNCTION("""COMPUTED_VALUE"""),7.0)</f>
        <v>7</v>
      </c>
      <c r="C154" s="2">
        <f>IFERROR(__xludf.DUMMYFUNCTION("""COMPUTED_VALUE"""),6.0)</f>
        <v>6</v>
      </c>
      <c r="D154" s="2" t="str">
        <f>IFERROR(__xludf.DUMMYFUNCTION("""COMPUTED_VALUE"""),"R1 / R2")</f>
        <v>R1 / R2</v>
      </c>
      <c r="E154" s="2" t="str">
        <f>IFERROR(__xludf.DUMMYFUNCTION("""COMPUTED_VALUE"""),"Assessment")</f>
        <v>Assessment</v>
      </c>
      <c r="F154" s="2" t="str">
        <f>IFERROR(__xludf.DUMMYFUNCTION("""COMPUTED_VALUE"""),"recommendation")</f>
        <v>recommendation</v>
      </c>
      <c r="G154" s="3" t="str">
        <f>IFERROR(__xludf.DUMMYFUNCTION("""COMPUTED_VALUE"""),"você propõe um desafio prático para resolução de um problema, eu acho que os alunos acabam aprendendo mais.")</f>
        <v>você propõe um desafio prático para resolução de um problema, eu acho que os alunos acabam aprendendo mais.</v>
      </c>
      <c r="H154" s="3" t="str">
        <f>IFERROR(__xludf.DUMMYFUNCTION("""COMPUTED_VALUE"""),"Evaluate through practical challenges.")</f>
        <v>Evaluate through practical challenges.</v>
      </c>
      <c r="I154" s="2" t="s">
        <v>3520</v>
      </c>
    </row>
    <row r="155">
      <c r="A155" s="50" t="s">
        <v>3063</v>
      </c>
      <c r="B155" s="2">
        <f>IFERROR(__xludf.DUMMYFUNCTION("""COMPUTED_VALUE"""),7.0)</f>
        <v>7</v>
      </c>
      <c r="C155" s="2">
        <f>IFERROR(__xludf.DUMMYFUNCTION("""COMPUTED_VALUE"""),6.0)</f>
        <v>6</v>
      </c>
      <c r="D155" s="2" t="str">
        <f>IFERROR(__xludf.DUMMYFUNCTION("""COMPUTED_VALUE"""),"R1 / R2")</f>
        <v>R1 / R2</v>
      </c>
      <c r="E155" s="2" t="str">
        <f>IFERROR(__xludf.DUMMYFUNCTION("""COMPUTED_VALUE"""),"Assessment")</f>
        <v>Assessment</v>
      </c>
      <c r="F155" s="2" t="str">
        <f>IFERROR(__xludf.DUMMYFUNCTION("""COMPUTED_VALUE"""),"recommendation")</f>
        <v>recommendation</v>
      </c>
      <c r="G155" s="3" t="str">
        <f>IFERROR(__xludf.DUMMYFUNCTION("""COMPUTED_VALUE"""),"Porque parte do pressuposto em todas as minhas disciplinas isso, né, que é o conhecimento é uma obra aberta, né? Eu não sou o detentor de todo conhecimento [...] Então eles aprenderem a fazer essa curadoria do que que é relevante, importante ou não, faz p"&amp;"arte dos meus processos de ensino e aprendizado.")</f>
        <v>Porque parte do pressuposto em todas as minhas disciplinas isso, né, que é o conhecimento é uma obra aberta, né? Eu não sou o detentor de todo conhecimento [...] Então eles aprenderem a fazer essa curadoria do que que é relevante, importante ou não, faz parte dos meus processos de ensino e aprendizado.</v>
      </c>
      <c r="H155" s="3" t="str">
        <f>IFERROR(__xludf.DUMMYFUNCTION("""COMPUTED_VALUE"""),"Instigate students' critical thinking and encourage the self-taught search for extra-class information.")</f>
        <v>Instigate students' critical thinking and encourage the self-taught search for extra-class information.</v>
      </c>
      <c r="I155" s="2" t="s">
        <v>3521</v>
      </c>
    </row>
    <row r="156">
      <c r="A156" s="50" t="s">
        <v>3065</v>
      </c>
      <c r="B156" s="2">
        <f>IFERROR(__xludf.DUMMYFUNCTION("""COMPUTED_VALUE"""),7.0)</f>
        <v>7</v>
      </c>
      <c r="C156" s="2">
        <f>IFERROR(__xludf.DUMMYFUNCTION("""COMPUTED_VALUE"""),7.0)</f>
        <v>7</v>
      </c>
      <c r="D156" s="2" t="str">
        <f>IFERROR(__xludf.DUMMYFUNCTION("""COMPUTED_VALUE"""),"R2 / R3")</f>
        <v>R2 / R3</v>
      </c>
      <c r="E156" s="2" t="str">
        <f>IFERROR(__xludf.DUMMYFUNCTION("""COMPUTED_VALUE"""),"Curriculum")</f>
        <v>Curriculum</v>
      </c>
      <c r="F156" s="2" t="str">
        <f>IFERROR(__xludf.DUMMYFUNCTION("""COMPUTED_VALUE"""),"recommendation")</f>
        <v>recommendation</v>
      </c>
      <c r="G156" s="3" t="str">
        <f>IFERROR(__xludf.DUMMYFUNCTION("""COMPUTED_VALUE"""),"Porque, por exemplo, já tem a minha que tem a minha disciplina aí pronta, né? Então o desafio, pra quem vai começar alguma, é menor. Já tem o que comparar e o que analisar, né? ")</f>
        <v>Porque, por exemplo, já tem a minha que tem a minha disciplina aí pronta, né? Então o desafio, pra quem vai começar alguma, é menor. Já tem o que comparar e o que analisar, né? </v>
      </c>
      <c r="H156" s="3" t="str">
        <f>IFERROR(__xludf.DUMMYFUNCTION("""COMPUTED_VALUE"""),"Use other DevOps courses as a reference.")</f>
        <v>Use other DevOps courses as a reference.</v>
      </c>
      <c r="I156" s="2" t="s">
        <v>3522</v>
      </c>
    </row>
    <row r="157">
      <c r="A157" s="50" t="s">
        <v>3067</v>
      </c>
      <c r="B157" s="2">
        <f>IFERROR(__xludf.DUMMYFUNCTION("""COMPUTED_VALUE"""),7.0)</f>
        <v>7</v>
      </c>
      <c r="C157" s="2">
        <f>IFERROR(__xludf.DUMMYFUNCTION("""COMPUTED_VALUE"""),8.0)</f>
        <v>8</v>
      </c>
      <c r="D157" s="2" t="str">
        <f>IFERROR(__xludf.DUMMYFUNCTION("""COMPUTED_VALUE"""),"R1 / R3")</f>
        <v>R1 / R3</v>
      </c>
      <c r="E157" s="2" t="str">
        <f>IFERROR(__xludf.DUMMYFUNCTION("""COMPUTED_VALUE"""),"Pedagogy")</f>
        <v>Pedagogy</v>
      </c>
      <c r="F157" s="2" t="str">
        <f>IFERROR(__xludf.DUMMYFUNCTION("""COMPUTED_VALUE"""),"recommendation")</f>
        <v>recommendation</v>
      </c>
      <c r="G157" s="3" t="str">
        <f>IFERROR(__xludf.DUMMYFUNCTION("""COMPUTED_VALUE"""),"já tem a minha que tem a minha disciplina aí pronta, né? Então o desafio, pra quem vai começar alguma, é menor. ")</f>
        <v>já tem a minha que tem a minha disciplina aí pronta, né? Então o desafio, pra quem vai começar alguma, é menor. </v>
      </c>
      <c r="H157" s="3" t="str">
        <f>IFERROR(__xludf.DUMMYFUNCTION("""COMPUTED_VALUE"""),"You can use the discipline that the interviewee professor Vinicius elaborated as a reference for the elaboration of other DevOps disciplines.")</f>
        <v>You can use the discipline that the interviewee professor Vinicius elaborated as a reference for the elaboration of other DevOps disciplines.</v>
      </c>
      <c r="I157" s="2" t="s">
        <v>3523</v>
      </c>
    </row>
    <row r="158">
      <c r="A158" s="50" t="s">
        <v>3069</v>
      </c>
      <c r="B158" s="2">
        <f>IFERROR(__xludf.DUMMYFUNCTION("""COMPUTED_VALUE"""),7.0)</f>
        <v>7</v>
      </c>
      <c r="C158" s="2">
        <f>IFERROR(__xludf.DUMMYFUNCTION("""COMPUTED_VALUE"""),8.0)</f>
        <v>8</v>
      </c>
      <c r="D158" s="2" t="str">
        <f>IFERROR(__xludf.DUMMYFUNCTION("""COMPUTED_VALUE"""),"R1 / R3")</f>
        <v>R1 / R3</v>
      </c>
      <c r="E158" s="2" t="str">
        <f>IFERROR(__xludf.DUMMYFUNCTION("""COMPUTED_VALUE"""),"Pedagogy")</f>
        <v>Pedagogy</v>
      </c>
      <c r="F158" s="2" t="str">
        <f>IFERROR(__xludf.DUMMYFUNCTION("""COMPUTED_VALUE"""),"recommendation")</f>
        <v>recommendation</v>
      </c>
      <c r="G158" s="3" t="str">
        <f>IFERROR(__xludf.DUMMYFUNCTION("""COMPUTED_VALUE"""),"teve época que eu combinava um conjunto de serviços gratuitos para serem utilizados, Heroku, eu combinava uns serviços gratuitos para rodar essas coisas. Já tive uma parceria pra usar fechado. [...] tem o Red Hat Academy, né, que você pode usar o OpenShif"&amp;"t, e tudo mais no contexto do esforço que você quiser dar. Então, esse tipo de coisa ajuda bastante.")</f>
        <v>teve época que eu combinava um conjunto de serviços gratuitos para serem utilizados, Heroku, eu combinava uns serviços gratuitos para rodar essas coisas. Já tive uma parceria pra usar fechado. [...] tem o Red Hat Academy, né, que você pode usar o OpenShift, e tudo mais no contexto do esforço que você quiser dar. Então, esse tipo de coisa ajuda bastante.</v>
      </c>
      <c r="H158" s="3" t="str">
        <f>IFERROR(__xludf.DUMMYFUNCTION("""COMPUTED_VALUE"""),"Use private cloud services through academia-industry partnerships such as Red Hat Academy.")</f>
        <v>Use private cloud services through academia-industry partnerships such as Red Hat Academy.</v>
      </c>
      <c r="I158" s="2" t="s">
        <v>3524</v>
      </c>
    </row>
    <row r="159">
      <c r="A159" s="50" t="s">
        <v>3070</v>
      </c>
      <c r="B159" s="2">
        <f>IFERROR(__xludf.DUMMYFUNCTION("""COMPUTED_VALUE"""),7.0)</f>
        <v>7</v>
      </c>
      <c r="C159" s="2">
        <f>IFERROR(__xludf.DUMMYFUNCTION("""COMPUTED_VALUE"""),8.0)</f>
        <v>8</v>
      </c>
      <c r="D159" s="2" t="str">
        <f>IFERROR(__xludf.DUMMYFUNCTION("""COMPUTED_VALUE"""),"R1 / R3")</f>
        <v>R1 / R3</v>
      </c>
      <c r="E159" s="2" t="str">
        <f>IFERROR(__xludf.DUMMYFUNCTION("""COMPUTED_VALUE"""),"Pedagogy")</f>
        <v>Pedagogy</v>
      </c>
      <c r="F159" s="2" t="str">
        <f>IFERROR(__xludf.DUMMYFUNCTION("""COMPUTED_VALUE"""),"recommendation")</f>
        <v>recommendation</v>
      </c>
      <c r="G159" s="3" t="str">
        <f>IFERROR(__xludf.DUMMYFUNCTION("""COMPUTED_VALUE"""),"é PBL casa muito bem com, pelo menos assim, na forma que eu enxergo os sinais DevOps ou arquitetura, ou MicroServices, que é uma outra disciplina que eu tenho, fica legal porque você consegue partir do problema e mostrar porque que a galera tá utilizando "&amp;"o que tá utilizando. Então, eu acho que casa perfeitamente, ")</f>
        <v>é PBL casa muito bem com, pelo menos assim, na forma que eu enxergo os sinais DevOps ou arquitetura, ou MicroServices, que é uma outra disciplina que eu tenho, fica legal porque você consegue partir do problema e mostrar porque que a galera tá utilizando o que tá utilizando. Então, eu acho que casa perfeitamente, </v>
      </c>
      <c r="H159" s="3" t="str">
        <f>IFERROR(__xludf.DUMMYFUNCTION("""COMPUTED_VALUE"""),"Make use of Problem-Based Learning (PBL).")</f>
        <v>Make use of Problem-Based Learning (PBL).</v>
      </c>
      <c r="I159" s="2" t="s">
        <v>3525</v>
      </c>
    </row>
    <row r="160">
      <c r="A160" s="50" t="s">
        <v>3072</v>
      </c>
      <c r="B160" s="2">
        <f>IFERROR(__xludf.DUMMYFUNCTION("""COMPUTED_VALUE"""),7.0)</f>
        <v>7</v>
      </c>
      <c r="C160" s="2">
        <f>IFERROR(__xludf.DUMMYFUNCTION("""COMPUTED_VALUE"""),8.0)</f>
        <v>8</v>
      </c>
      <c r="D160" s="2" t="str">
        <f>IFERROR(__xludf.DUMMYFUNCTION("""COMPUTED_VALUE"""),"R1 / R3")</f>
        <v>R1 / R3</v>
      </c>
      <c r="E160" s="2" t="str">
        <f>IFERROR(__xludf.DUMMYFUNCTION("""COMPUTED_VALUE"""),"Pedagogy")</f>
        <v>Pedagogy</v>
      </c>
      <c r="F160" s="2" t="str">
        <f>IFERROR(__xludf.DUMMYFUNCTION("""COMPUTED_VALUE"""),"recommendation")</f>
        <v>recommendation</v>
      </c>
      <c r="G160" s="3" t="str">
        <f>IFERROR(__xludf.DUMMYFUNCTION("""COMPUTED_VALUE"""),"Hoje, eu não uso, eu uso não só PBL, tem sala de aula invertida, né? Acho que essa tradução pro português, trabalho com missões, né? Então, assim, a própria execução é Agile, a gente tem sempre um post-mortems para cada missão. A minha metodologia hoje, d"&amp;"e trabalho, é uma combinação de uma série de boas práticas distintas que vem parte da minha experiência profissional e parte do que eu aprendi vendo que dava certo e não dava certo lecionando. ")</f>
        <v>Hoje, eu não uso, eu uso não só PBL, tem sala de aula invertida, né? Acho que essa tradução pro português, trabalho com missões, né? Então, assim, a própria execução é Agile, a gente tem sempre um post-mortems para cada missão. A minha metodologia hoje, de trabalho, é uma combinação de uma série de boas práticas distintas que vem parte da minha experiência profissional e parte do que eu aprendi vendo que dava certo e não dava certo lecionando. </v>
      </c>
      <c r="H160" s="3" t="str">
        <f>IFERROR(__xludf.DUMMYFUNCTION("""COMPUTED_VALUE"""),"Merge good practices of Problem-Based Learning (PBL), inverted class and Agile, through classroom experimentation.")</f>
        <v>Merge good practices of Problem-Based Learning (PBL), inverted class and Agile, through classroom experimentation.</v>
      </c>
      <c r="I160" s="2" t="s">
        <v>3526</v>
      </c>
    </row>
    <row r="161">
      <c r="A161" s="50" t="s">
        <v>3073</v>
      </c>
      <c r="B161" s="2">
        <f>IFERROR(__xludf.DUMMYFUNCTION("""COMPUTED_VALUE"""),8.0)</f>
        <v>8</v>
      </c>
      <c r="C161" s="2">
        <f>IFERROR(__xludf.DUMMYFUNCTION("""COMPUTED_VALUE"""),1.0)</f>
        <v>1</v>
      </c>
      <c r="D161" s="2" t="str">
        <f>IFERROR(__xludf.DUMMYFUNCTION("""COMPUTED_VALUE"""),"R1 / R2")</f>
        <v>R1 / R2</v>
      </c>
      <c r="E161" s="2" t="str">
        <f>IFERROR(__xludf.DUMMYFUNCTION("""COMPUTED_VALUE"""),"Educator Experience")</f>
        <v>Educator Experience</v>
      </c>
      <c r="F161" s="2" t="str">
        <f>IFERROR(__xludf.DUMMYFUNCTION("""COMPUTED_VALUE"""),"recommendation")</f>
        <v>recommendation</v>
      </c>
      <c r="G161" s="3" t="str">
        <f>IFERROR(__xludf.DUMMYFUNCTION("""COMPUTED_VALUE"""),"the only way to teach culture, the only way to experience culture is to immerse the students in the culture. [...] one of the examples I give to my students is I say, you know, I took three years of Spanish in high school and I don't speak a word of Spani"&amp;"sh, but I bet if I spent a summer in Spain, I would come back speaking, fluent Spanish. So I tell them: ""this class is your summer in Spain"", right? We are going to live DevOps. We're going to experience DevOps. And that's the only way you can properly "&amp;"teach it. ")</f>
        <v>the only way to teach culture, the only way to experience culture is to immerse the students in the culture. [...] one of the examples I give to my students is I say, you know, I took three years of Spanish in high school and I don't speak a word of Spanish, but I bet if I spent a summer in Spain, I would come back speaking, fluent Spanish. So I tell them: "this class is your summer in Spain", right? We are going to live DevOps. We're going to experience DevOps. And that's the only way you can properly teach it. </v>
      </c>
      <c r="H161" s="3" t="str">
        <f>IFERROR(__xludf.DUMMYFUNCTION("""COMPUTED_VALUE"""),"Live DevOps and its culture is the best way to learn it.")</f>
        <v>Live DevOps and its culture is the best way to learn it.</v>
      </c>
      <c r="I161" s="2" t="s">
        <v>3527</v>
      </c>
    </row>
    <row r="162">
      <c r="A162" s="50" t="s">
        <v>3074</v>
      </c>
      <c r="B162" s="2">
        <f>IFERROR(__xludf.DUMMYFUNCTION("""COMPUTED_VALUE"""),8.0)</f>
        <v>8</v>
      </c>
      <c r="C162" s="2">
        <f>IFERROR(__xludf.DUMMYFUNCTION("""COMPUTED_VALUE"""),1.0)</f>
        <v>1</v>
      </c>
      <c r="D162" s="2" t="str">
        <f>IFERROR(__xludf.DUMMYFUNCTION("""COMPUTED_VALUE"""),"R1 / R2")</f>
        <v>R1 / R2</v>
      </c>
      <c r="E162" s="2" t="str">
        <f>IFERROR(__xludf.DUMMYFUNCTION("""COMPUTED_VALUE"""),"Educator Experience")</f>
        <v>Educator Experience</v>
      </c>
      <c r="F162" s="2" t="str">
        <f>IFERROR(__xludf.DUMMYFUNCTION("""COMPUTED_VALUE"""),"recommendation")</f>
        <v>recommendation</v>
      </c>
      <c r="G162" s="3" t="str">
        <f>IFERROR(__xludf.DUMMYFUNCTION("""COMPUTED_VALUE"""),"I break them up into nine teams of five students each")</f>
        <v>I break them up into nine teams of five students each</v>
      </c>
      <c r="H162" s="3" t="str">
        <f>IFERROR(__xludf.DUMMYFUNCTION("""COMPUTED_VALUE"""),"Organize the students into teams of five.")</f>
        <v>Organize the students into teams of five.</v>
      </c>
      <c r="I162" s="2" t="s">
        <v>3528</v>
      </c>
    </row>
    <row r="163">
      <c r="A163" s="50" t="s">
        <v>3076</v>
      </c>
      <c r="B163" s="2">
        <f>IFERROR(__xludf.DUMMYFUNCTION("""COMPUTED_VALUE"""),8.0)</f>
        <v>8</v>
      </c>
      <c r="C163" s="2">
        <f>IFERROR(__xludf.DUMMYFUNCTION("""COMPUTED_VALUE"""),1.0)</f>
        <v>1</v>
      </c>
      <c r="D163" s="2" t="str">
        <f>IFERROR(__xludf.DUMMYFUNCTION("""COMPUTED_VALUE"""),"R1 / R2")</f>
        <v>R1 / R2</v>
      </c>
      <c r="E163" s="2" t="str">
        <f>IFERROR(__xludf.DUMMYFUNCTION("""COMPUTED_VALUE"""),"Educator Experience")</f>
        <v>Educator Experience</v>
      </c>
      <c r="F163" s="2" t="str">
        <f>IFERROR(__xludf.DUMMYFUNCTION("""COMPUTED_VALUE"""),"recommendation")</f>
        <v>recommendation</v>
      </c>
      <c r="G163" s="3" t="str">
        <f>IFERROR(__xludf.DUMMYFUNCTION("""COMPUTED_VALUE""")," I teach them about social coding. ")</f>
        <v> I teach them about social coding. </v>
      </c>
      <c r="H163" s="3" t="str">
        <f>IFERROR(__xludf.DUMMYFUNCTION("""COMPUTED_VALUE"""),"Teach social coding.")</f>
        <v>Teach social coding.</v>
      </c>
      <c r="I163" s="2" t="s">
        <v>460</v>
      </c>
    </row>
    <row r="164">
      <c r="A164" s="50" t="s">
        <v>3077</v>
      </c>
      <c r="B164" s="2">
        <f>IFERROR(__xludf.DUMMYFUNCTION("""COMPUTED_VALUE"""),8.0)</f>
        <v>8</v>
      </c>
      <c r="C164" s="2">
        <f>IFERROR(__xludf.DUMMYFUNCTION("""COMPUTED_VALUE"""),1.0)</f>
        <v>1</v>
      </c>
      <c r="D164" s="2" t="str">
        <f>IFERROR(__xludf.DUMMYFUNCTION("""COMPUTED_VALUE"""),"R1 / R2")</f>
        <v>R1 / R2</v>
      </c>
      <c r="E164" s="2" t="str">
        <f>IFERROR(__xludf.DUMMYFUNCTION("""COMPUTED_VALUE"""),"Educator Experience")</f>
        <v>Educator Experience</v>
      </c>
      <c r="F164" s="2" t="str">
        <f>IFERROR(__xludf.DUMMYFUNCTION("""COMPUTED_VALUE"""),"recommendation")</f>
        <v>recommendation</v>
      </c>
      <c r="G164" s="3" t="str">
        <f>IFERROR(__xludf.DUMMYFUNCTION("""COMPUTED_VALUE""")," I teach them about the git feature branch workflow. ")</f>
        <v> I teach them about the git feature branch workflow. </v>
      </c>
      <c r="H164" s="3" t="str">
        <f>IFERROR(__xludf.DUMMYFUNCTION("""COMPUTED_VALUE"""),"Teach git feature branch workflow.")</f>
        <v>Teach git feature branch workflow.</v>
      </c>
      <c r="I164" s="2" t="s">
        <v>3529</v>
      </c>
    </row>
    <row r="165">
      <c r="A165" s="50" t="s">
        <v>3078</v>
      </c>
      <c r="B165" s="2">
        <f>IFERROR(__xludf.DUMMYFUNCTION("""COMPUTED_VALUE"""),8.0)</f>
        <v>8</v>
      </c>
      <c r="C165" s="2">
        <f>IFERROR(__xludf.DUMMYFUNCTION("""COMPUTED_VALUE"""),1.0)</f>
        <v>1</v>
      </c>
      <c r="D165" s="2" t="str">
        <f>IFERROR(__xludf.DUMMYFUNCTION("""COMPUTED_VALUE"""),"R1 / R2")</f>
        <v>R1 / R2</v>
      </c>
      <c r="E165" s="2" t="str">
        <f>IFERROR(__xludf.DUMMYFUNCTION("""COMPUTED_VALUE"""),"Educator Experience")</f>
        <v>Educator Experience</v>
      </c>
      <c r="F165" s="2" t="str">
        <f>IFERROR(__xludf.DUMMYFUNCTION("""COMPUTED_VALUE"""),"recommendation")</f>
        <v>recommendation</v>
      </c>
      <c r="G165" s="3" t="str">
        <f>IFERROR(__xludf.DUMMYFUNCTION("""COMPUTED_VALUE"""),"I tell them, I am not going to grade you on what you submit. I'm going to grade you on how you got there because getting there is not the point. It's the journey, right? That's the point. [...] I teach them that every failure is a learning opportunity. If"&amp;" you fail and you learn something, you get credit. It's not a failure because you've learned something, we're here to learn. ")</f>
        <v>I tell them, I am not going to grade you on what you submit. I'm going to grade you on how you got there because getting there is not the point. It's the journey, right? That's the point. [...] I teach them that every failure is a learning opportunity. If you fail and you learn something, you get credit. It's not a failure because you've learned something, we're here to learn. </v>
      </c>
      <c r="H165" s="3" t="str">
        <f>IFERROR(__xludf.DUMMYFUNCTION("""COMPUTED_VALUE"""),"Grade students based on their learning journey and mistakes, not on what they submit. What's important is how they get there, because every failure is learning opportunity.")</f>
        <v>Grade students based on their learning journey and mistakes, not on what they submit. What's important is how they get there, because every failure is learning opportunity.</v>
      </c>
      <c r="I165" s="2" t="s">
        <v>2391</v>
      </c>
    </row>
    <row r="166">
      <c r="A166" s="50" t="s">
        <v>3080</v>
      </c>
      <c r="B166" s="2">
        <f>IFERROR(__xludf.DUMMYFUNCTION("""COMPUTED_VALUE"""),8.0)</f>
        <v>8</v>
      </c>
      <c r="C166" s="2">
        <f>IFERROR(__xludf.DUMMYFUNCTION("""COMPUTED_VALUE"""),1.0)</f>
        <v>1</v>
      </c>
      <c r="D166" s="2" t="str">
        <f>IFERROR(__xludf.DUMMYFUNCTION("""COMPUTED_VALUE"""),"R1 / R2")</f>
        <v>R1 / R2</v>
      </c>
      <c r="E166" s="2" t="str">
        <f>IFERROR(__xludf.DUMMYFUNCTION("""COMPUTED_VALUE"""),"Educator Experience")</f>
        <v>Educator Experience</v>
      </c>
      <c r="F166" s="2" t="str">
        <f>IFERROR(__xludf.DUMMYFUNCTION("""COMPUTED_VALUE"""),"recommendation")</f>
        <v>recommendation</v>
      </c>
      <c r="G166" s="3" t="str">
        <f>IFERROR(__xludf.DUMMYFUNCTION("""COMPUTED_VALUE"""),"And then I tell them, I am not going to grade you on what you submit. I'm going to grade you on how you got there because getting there is not the point. It's the journey, right? That's the point. It's how you got there. And so, um, I teach my class in sp"&amp;"rints. We do five, two weeks sprints in a 15-week course. And I give them the requirements for each sprint, what I need them to build. And I teach them how to do agile planning. And then they go build an agile plan.")</f>
        <v>And then I tell them, I am not going to grade you on what you submit. I'm going to grade you on how you got there because getting there is not the point. It's the journey, right? That's the point. It's how you got there. And so, um, I teach my class in sprints. We do five, two weeks sprints in a 15-week course. And I give them the requirements for each sprint, what I need them to build. And I teach them how to do agile planning. And then they go build an agile plan.</v>
      </c>
      <c r="H166" s="3" t="str">
        <f>IFERROR(__xludf.DUMMYFUNCTION("""COMPUTED_VALUE"""),"I teach my class in sprints. We do five, two weeks sprints in a 15-week course. I give them the requirements for each sprint, what I need them to build and I teach them how to do agile planning. Then they go build an agile plan.")</f>
        <v>I teach my class in sprints. We do five, two weeks sprints in a 15-week course. I give them the requirements for each sprint, what I need them to build and I teach them how to do agile planning. Then they go build an agile plan.</v>
      </c>
      <c r="I166" s="2" t="s">
        <v>1066</v>
      </c>
    </row>
    <row r="167">
      <c r="A167" s="50" t="s">
        <v>3082</v>
      </c>
      <c r="B167" s="2">
        <f>IFERROR(__xludf.DUMMYFUNCTION("""COMPUTED_VALUE"""),8.0)</f>
        <v>8</v>
      </c>
      <c r="C167" s="2">
        <f>IFERROR(__xludf.DUMMYFUNCTION("""COMPUTED_VALUE"""),2.0)</f>
        <v>2</v>
      </c>
      <c r="D167" s="2" t="str">
        <f>IFERROR(__xludf.DUMMYFUNCTION("""COMPUTED_VALUE"""),"R2 / R3")</f>
        <v>R2 / R3</v>
      </c>
      <c r="E167" s="2" t="str">
        <f>IFERROR(__xludf.DUMMYFUNCTION("""COMPUTED_VALUE"""),"Educator Experience")</f>
        <v>Educator Experience</v>
      </c>
      <c r="F167" s="2" t="str">
        <f>IFERROR(__xludf.DUMMYFUNCTION("""COMPUTED_VALUE"""),"recommendation")</f>
        <v>recommendation</v>
      </c>
      <c r="G167" s="3" t="str">
        <f>IFERROR(__xludf.DUMMYFUNCTION("""COMPUTED_VALUE"""),"Those are the ones you remember, right? Not just read, right? If you learn in the abstract, you'll soon forget it. But if you learn in context, then you'll remember it because you understood why you did it. So I try to teach them just enough to get them g"&amp;"oing.")</f>
        <v>Those are the ones you remember, right? Not just read, right? If you learn in the abstract, you'll soon forget it. But if you learn in context, then you'll remember it because you understood why you did it. So I try to teach them just enough to get them going.</v>
      </c>
      <c r="H167" s="3" t="str">
        <f>IFERROR(__xludf.DUMMYFUNCTION("""COMPUTED_VALUE"""),"Teach just enough to get them going so they can learn in the right context.")</f>
        <v>Teach just enough to get them going so they can learn in the right context.</v>
      </c>
      <c r="I167" s="2" t="s">
        <v>1070</v>
      </c>
    </row>
    <row r="168">
      <c r="A168" s="50" t="s">
        <v>3083</v>
      </c>
      <c r="B168" s="2">
        <f>IFERROR(__xludf.DUMMYFUNCTION("""COMPUTED_VALUE"""),8.0)</f>
        <v>8</v>
      </c>
      <c r="C168" s="2">
        <f>IFERROR(__xludf.DUMMYFUNCTION("""COMPUTED_VALUE"""),2.0)</f>
        <v>2</v>
      </c>
      <c r="D168" s="2" t="str">
        <f>IFERROR(__xludf.DUMMYFUNCTION("""COMPUTED_VALUE"""),"R2 / R3")</f>
        <v>R2 / R3</v>
      </c>
      <c r="E168" s="2" t="str">
        <f>IFERROR(__xludf.DUMMYFUNCTION("""COMPUTED_VALUE"""),"Educator Experience")</f>
        <v>Educator Experience</v>
      </c>
      <c r="F168" s="2" t="str">
        <f>IFERROR(__xludf.DUMMYFUNCTION("""COMPUTED_VALUE"""),"recommendation")</f>
        <v>recommendation</v>
      </c>
      <c r="G168" s="3" t="str">
        <f>IFERROR(__xludf.DUMMYFUNCTION("""COMPUTED_VALUE"""),"I teach them how to work as a DevOps team. And we create a slack channel. , and I create a channel for each one of the teams. And they're all collaborating in their channel. They have 24/7 access to me. They can ping me at any time on slack.")</f>
        <v>I teach them how to work as a DevOps team. And we create a slack channel. , and I create a channel for each one of the teams. And they're all collaborating in their channel. They have 24/7 access to me. They can ping me at any time on slack.</v>
      </c>
      <c r="H168" s="3" t="str">
        <f>IFERROR(__xludf.DUMMYFUNCTION("""COMPUTED_VALUE"""),"I teach them how to work as a DevOps team. And they're all collaborating in their channel. They have 24/7 access to me. They can ping me at any time on slack.")</f>
        <v>I teach them how to work as a DevOps team. And they're all collaborating in their channel. They have 24/7 access to me. They can ping me at any time on slack.</v>
      </c>
      <c r="I168" s="2" t="s">
        <v>2397</v>
      </c>
    </row>
    <row r="169">
      <c r="A169" s="50" t="s">
        <v>3085</v>
      </c>
      <c r="B169" s="2">
        <f>IFERROR(__xludf.DUMMYFUNCTION("""COMPUTED_VALUE"""),8.0)</f>
        <v>8</v>
      </c>
      <c r="C169" s="2">
        <f>IFERROR(__xludf.DUMMYFUNCTION("""COMPUTED_VALUE"""),2.0)</f>
        <v>2</v>
      </c>
      <c r="D169" s="2" t="str">
        <f>IFERROR(__xludf.DUMMYFUNCTION("""COMPUTED_VALUE"""),"R2 / R3")</f>
        <v>R2 / R3</v>
      </c>
      <c r="E169" s="2" t="str">
        <f>IFERROR(__xludf.DUMMYFUNCTION("""COMPUTED_VALUE"""),"Educator Experience")</f>
        <v>Educator Experience</v>
      </c>
      <c r="F169" s="2" t="str">
        <f>IFERROR(__xludf.DUMMYFUNCTION("""COMPUTED_VALUE"""),"recommendation")</f>
        <v>recommendation</v>
      </c>
      <c r="G169" s="3" t="str">
        <f>IFERROR(__xludf.DUMMYFUNCTION("""COMPUTED_VALUE"""),"You have a question, ask me the question in the moment, right? Because that's when the answer is important to you.")</f>
        <v>You have a question, ask me the question in the moment, right? Because that's when the answer is important to you.</v>
      </c>
      <c r="H169" s="3" t="str">
        <f>IFERROR(__xludf.DUMMYFUNCTION("""COMPUTED_VALUE"""),"The student's question should be answered in the moment.")</f>
        <v>The student's question should be answered in the moment.</v>
      </c>
      <c r="I169" s="2" t="s">
        <v>1509</v>
      </c>
    </row>
    <row r="170">
      <c r="A170" s="50" t="s">
        <v>3087</v>
      </c>
      <c r="B170" s="2">
        <f>IFERROR(__xludf.DUMMYFUNCTION("""COMPUTED_VALUE"""),8.0)</f>
        <v>8</v>
      </c>
      <c r="C170" s="2">
        <f>IFERROR(__xludf.DUMMYFUNCTION("""COMPUTED_VALUE"""),2.0)</f>
        <v>2</v>
      </c>
      <c r="D170" s="2" t="str">
        <f>IFERROR(__xludf.DUMMYFUNCTION("""COMPUTED_VALUE"""),"R2 / R3")</f>
        <v>R2 / R3</v>
      </c>
      <c r="E170" s="2" t="str">
        <f>IFERROR(__xludf.DUMMYFUNCTION("""COMPUTED_VALUE"""),"Educator Experience")</f>
        <v>Educator Experience</v>
      </c>
      <c r="F170" s="2" t="str">
        <f>IFERROR(__xludf.DUMMYFUNCTION("""COMPUTED_VALUE"""),"recommendation")</f>
        <v>recommendation</v>
      </c>
      <c r="G170" s="3" t="str">
        <f>IFERROR(__xludf.DUMMYFUNCTION("""COMPUTED_VALUE""")," I like to make them feel a little bit of pain before I give them the solution. So I will have them to run their test cases")</f>
        <v> I like to make them feel a little bit of pain before I give them the solution. So I will have them to run their test cases</v>
      </c>
      <c r="H170" s="3" t="str">
        <f>IFERROR(__xludf.DUMMYFUNCTION("""COMPUTED_VALUE"""),"Don't give the solution right away, let them reach it first for themselves.")</f>
        <v>Don't give the solution right away, let them reach it first for themselves.</v>
      </c>
      <c r="I170" s="2" t="s">
        <v>3530</v>
      </c>
    </row>
    <row r="171">
      <c r="A171" s="50" t="s">
        <v>3088</v>
      </c>
      <c r="B171" s="2">
        <f>IFERROR(__xludf.DUMMYFUNCTION("""COMPUTED_VALUE"""),8.0)</f>
        <v>8</v>
      </c>
      <c r="C171" s="2">
        <f>IFERROR(__xludf.DUMMYFUNCTION("""COMPUTED_VALUE"""),3.0)</f>
        <v>3</v>
      </c>
      <c r="D171" s="2" t="str">
        <f>IFERROR(__xludf.DUMMYFUNCTION("""COMPUTED_VALUE"""),"R1 / R3")</f>
        <v>R1 / R3</v>
      </c>
      <c r="E171" s="2" t="str">
        <f>IFERROR(__xludf.DUMMYFUNCTION("""COMPUTED_VALUE"""),"Educator Experience")</f>
        <v>Educator Experience</v>
      </c>
      <c r="F171" s="2" t="str">
        <f>IFERROR(__xludf.DUMMYFUNCTION("""COMPUTED_VALUE"""),"recommendation")</f>
        <v>recommendation</v>
      </c>
      <c r="G171" s="3" t="str">
        <f>IFERROR(__xludf.DUMMYFUNCTION("""COMPUTED_VALUE"""),"And then I teach them, CI continuous integration. I show them how to use Travis to automatically run the test cases.")</f>
        <v>And then I teach them, CI continuous integration. I show them how to use Travis to automatically run the test cases.</v>
      </c>
      <c r="H171" s="3" t="str">
        <f>IFERROR(__xludf.DUMMYFUNCTION("""COMPUTED_VALUE"""),"Teach continuous integration using travis to automatically run the test cases.")</f>
        <v>Teach continuous integration using travis to automatically run the test cases.</v>
      </c>
      <c r="I171" s="2" t="s">
        <v>476</v>
      </c>
    </row>
    <row r="172">
      <c r="A172" s="50" t="s">
        <v>3090</v>
      </c>
      <c r="B172" s="2">
        <f>IFERROR(__xludf.DUMMYFUNCTION("""COMPUTED_VALUE"""),8.0)</f>
        <v>8</v>
      </c>
      <c r="C172" s="2">
        <f>IFERROR(__xludf.DUMMYFUNCTION("""COMPUTED_VALUE"""),3.0)</f>
        <v>3</v>
      </c>
      <c r="D172" s="2" t="str">
        <f>IFERROR(__xludf.DUMMYFUNCTION("""COMPUTED_VALUE"""),"R1 / R3")</f>
        <v>R1 / R3</v>
      </c>
      <c r="E172" s="2" t="str">
        <f>IFERROR(__xludf.DUMMYFUNCTION("""COMPUTED_VALUE"""),"Educator Experience")</f>
        <v>Educator Experience</v>
      </c>
      <c r="F172" s="2" t="str">
        <f>IFERROR(__xludf.DUMMYFUNCTION("""COMPUTED_VALUE"""),"recommendation")</f>
        <v>recommendation</v>
      </c>
      <c r="G172" s="3" t="str">
        <f>IFERROR(__xludf.DUMMYFUNCTION("""COMPUTED_VALUE"""),"I'll have them run their test cases manually. And then when someone makes a pull request, I'm like, well, you need to clone that, run the test case. [...] And then [.. ] I show them how to [...] automatically run the test cases. [...] And so they write al"&amp;"l the test cases. And then, and then I, I teach them about code coverage. I said, it's not about the test passing. If the code coverage go down, then somebody code it without writing a test case, don't merge that pull-request, right? So I'm teaching this "&amp;"whole culture, right? This way of working. [...] Then finally we push it to the cloud. We set up CD pipelines to deploy things in the cloud")</f>
        <v>I'll have them run their test cases manually. And then when someone makes a pull request, I'm like, well, you need to clone that, run the test case. [...] And then [.. ] I show them how to [...] automatically run the test cases. [...] And so they write all the test cases. And then, and then I, I teach them about code coverage. I said, it's not about the test passing. If the code coverage go down, then somebody code it without writing a test case, don't merge that pull-request, right? So I'm teaching this whole culture, right? This way of working. [...] Then finally we push it to the cloud. We set up CD pipelines to deploy things in the cloud</v>
      </c>
      <c r="H172" s="3" t="str">
        <f>IFERROR(__xludf.DUMMYFUNCTION("""COMPUTED_VALUE"""),"Write some tests cases manually, do pull requests, do test automation with CI, write all test cases, teach code coverage. Then finally setup CD pipeline to deploy the application in the cloud.")</f>
        <v>Write some tests cases manually, do pull requests, do test automation with CI, write all test cases, teach code coverage. Then finally setup CD pipeline to deploy the application in the cloud.</v>
      </c>
      <c r="I172" s="2" t="s">
        <v>3531</v>
      </c>
    </row>
    <row r="173">
      <c r="A173" s="50" t="s">
        <v>3091</v>
      </c>
      <c r="B173" s="2">
        <f>IFERROR(__xludf.DUMMYFUNCTION("""COMPUTED_VALUE"""),8.0)</f>
        <v>8</v>
      </c>
      <c r="C173" s="2">
        <f>IFERROR(__xludf.DUMMYFUNCTION("""COMPUTED_VALUE"""),4.0)</f>
        <v>4</v>
      </c>
      <c r="D173" s="2" t="str">
        <f>IFERROR(__xludf.DUMMYFUNCTION("""COMPUTED_VALUE"""),"R1 / R3")</f>
        <v>R1 / R3</v>
      </c>
      <c r="E173" s="2" t="str">
        <f>IFERROR(__xludf.DUMMYFUNCTION("""COMPUTED_VALUE"""),"Educator Experience")</f>
        <v>Educator Experience</v>
      </c>
      <c r="F173" s="2" t="str">
        <f>IFERROR(__xludf.DUMMYFUNCTION("""COMPUTED_VALUE"""),"recommendation")</f>
        <v>recommendation</v>
      </c>
      <c r="G173" s="3" t="str">
        <f>IFERROR(__xludf.DUMMYFUNCTION("""COMPUTED_VALUE"""),"so I try to force them into these situations that really drive home the message of how to work as a DevOps team, how to work agile, but you've got to live it.")</f>
        <v>so I try to force them into these situations that really drive home the message of how to work as a DevOps team, how to work agile, but you've got to live it.</v>
      </c>
      <c r="H173" s="3" t="str">
        <f>IFERROR(__xludf.DUMMYFUNCTION("""COMPUTED_VALUE"""),"Make students experiment situations where they can learn how to work as a DevOps team, how to work agile.")</f>
        <v>Make students experiment situations where they can learn how to work as a DevOps team, how to work agile.</v>
      </c>
      <c r="I173" s="2" t="s">
        <v>3532</v>
      </c>
    </row>
    <row r="174">
      <c r="A174" s="50" t="s">
        <v>3092</v>
      </c>
      <c r="B174" s="2">
        <f>IFERROR(__xludf.DUMMYFUNCTION("""COMPUTED_VALUE"""),8.0)</f>
        <v>8</v>
      </c>
      <c r="C174" s="2">
        <f>IFERROR(__xludf.DUMMYFUNCTION("""COMPUTED_VALUE"""),4.0)</f>
        <v>4</v>
      </c>
      <c r="D174" s="2" t="str">
        <f>IFERROR(__xludf.DUMMYFUNCTION("""COMPUTED_VALUE"""),"R1 / R3")</f>
        <v>R1 / R3</v>
      </c>
      <c r="E174" s="2" t="str">
        <f>IFERROR(__xludf.DUMMYFUNCTION("""COMPUTED_VALUE"""),"Educator Experience")</f>
        <v>Educator Experience</v>
      </c>
      <c r="F174" s="2" t="str">
        <f>IFERROR(__xludf.DUMMYFUNCTION("""COMPUTED_VALUE"""),"recommendation")</f>
        <v>recommendation</v>
      </c>
      <c r="G174" s="3" t="str">
        <f>IFERROR(__xludf.DUMMYFUNCTION("""COMPUTED_VALUE"""),"whenever they have a problem they can come to me. And I tell them, don't spend too much time Googling stuff. If you don't understand something, ask me if, if you don't understand what I presented, then I didn't present it in a way that you could connect w"&amp;"ith it. [...] Everybody learns differently. ")</f>
        <v>whenever they have a problem they can come to me. And I tell them, don't spend too much time Googling stuff. If you don't understand something, ask me if, if you don't understand what I presented, then I didn't present it in a way that you could connect with it. [...] Everybody learns differently. </v>
      </c>
      <c r="H174" s="3" t="str">
        <f>IFERROR(__xludf.DUMMYFUNCTION("""COMPUTED_VALUE"""),"Incentive professor-students interaction, easing fast solving questions.")</f>
        <v>Incentive professor-students interaction, easing fast solving questions.</v>
      </c>
      <c r="I174" s="2" t="s">
        <v>3533</v>
      </c>
    </row>
    <row r="175">
      <c r="A175" s="50" t="s">
        <v>3093</v>
      </c>
      <c r="B175" s="2">
        <f>IFERROR(__xludf.DUMMYFUNCTION("""COMPUTED_VALUE"""),8.0)</f>
        <v>8</v>
      </c>
      <c r="C175" s="2">
        <f>IFERROR(__xludf.DUMMYFUNCTION("""COMPUTED_VALUE"""),4.0)</f>
        <v>4</v>
      </c>
      <c r="D175" s="2" t="str">
        <f>IFERROR(__xludf.DUMMYFUNCTION("""COMPUTED_VALUE"""),"R1 / R3")</f>
        <v>R1 / R3</v>
      </c>
      <c r="E175" s="2" t="str">
        <f>IFERROR(__xludf.DUMMYFUNCTION("""COMPUTED_VALUE"""),"Educator Experience")</f>
        <v>Educator Experience</v>
      </c>
      <c r="F175" s="2" t="str">
        <f>IFERROR(__xludf.DUMMYFUNCTION("""COMPUTED_VALUE"""),"recommendation")</f>
        <v>recommendation</v>
      </c>
      <c r="G175" s="3" t="str">
        <f>IFERROR(__xludf.DUMMYFUNCTION("""COMPUTED_VALUE"""),"So I let them know that if you asked me the same question a second time, I promise I won't answer it the same way. I'll try to find some different way to make that connection with you. Right? So that you understand it, given the background that you have. "&amp;"Given the skills that you have. Uh, so again, I try to immerse them in this culture. ")</f>
        <v>So I let them know that if you asked me the same question a second time, I promise I won't answer it the same way. I'll try to find some different way to make that connection with you. Right? So that you understand it, given the background that you have. Given the skills that you have. Uh, so again, I try to immerse them in this culture. </v>
      </c>
      <c r="H175" s="3" t="str">
        <f>IFERROR(__xludf.DUMMYFUNCTION("""COMPUTED_VALUE"""),"Teaching customized based on students background.")</f>
        <v>Teaching customized based on students background.</v>
      </c>
      <c r="I175" s="2" t="s">
        <v>486</v>
      </c>
    </row>
    <row r="176">
      <c r="A176" s="50" t="s">
        <v>3095</v>
      </c>
      <c r="B176" s="2">
        <f>IFERROR(__xludf.DUMMYFUNCTION("""COMPUTED_VALUE"""),8.0)</f>
        <v>8</v>
      </c>
      <c r="C176" s="2">
        <f>IFERROR(__xludf.DUMMYFUNCTION("""COMPUTED_VALUE"""),4.0)</f>
        <v>4</v>
      </c>
      <c r="D176" s="2" t="str">
        <f>IFERROR(__xludf.DUMMYFUNCTION("""COMPUTED_VALUE"""),"R1 / R3")</f>
        <v>R1 / R3</v>
      </c>
      <c r="E176" s="2" t="str">
        <f>IFERROR(__xludf.DUMMYFUNCTION("""COMPUTED_VALUE"""),"Educator Experience")</f>
        <v>Educator Experience</v>
      </c>
      <c r="F176" s="2" t="str">
        <f>IFERROR(__xludf.DUMMYFUNCTION("""COMPUTED_VALUE"""),"recommendation")</f>
        <v>recommendation</v>
      </c>
      <c r="G176" s="3" t="str">
        <f>IFERROR(__xludf.DUMMYFUNCTION("""COMPUTED_VALUE""")," you have to learn by doing ")</f>
        <v> you have to learn by doing </v>
      </c>
      <c r="H176" s="3" t="str">
        <f>IFERROR(__xludf.DUMMYFUNCTION("""COMPUTED_VALUE"""),"It is necessary to practice DevOps knowledge.")</f>
        <v>It is necessary to practice DevOps knowledge.</v>
      </c>
      <c r="I176" s="2" t="s">
        <v>3534</v>
      </c>
    </row>
    <row r="177">
      <c r="A177" s="50" t="s">
        <v>3097</v>
      </c>
      <c r="B177" s="2">
        <f>IFERROR(__xludf.DUMMYFUNCTION("""COMPUTED_VALUE"""),8.0)</f>
        <v>8</v>
      </c>
      <c r="C177" s="2">
        <f>IFERROR(__xludf.DUMMYFUNCTION("""COMPUTED_VALUE"""),4.0)</f>
        <v>4</v>
      </c>
      <c r="D177" s="2" t="str">
        <f>IFERROR(__xludf.DUMMYFUNCTION("""COMPUTED_VALUE"""),"R1 / R3")</f>
        <v>R1 / R3</v>
      </c>
      <c r="E177" s="2" t="str">
        <f>IFERROR(__xludf.DUMMYFUNCTION("""COMPUTED_VALUE"""),"Educator Experience")</f>
        <v>Educator Experience</v>
      </c>
      <c r="F177" s="2" t="str">
        <f>IFERROR(__xludf.DUMMYFUNCTION("""COMPUTED_VALUE"""),"recommendation")</f>
        <v>recommendation</v>
      </c>
      <c r="G177" s="3" t="str">
        <f>IFERROR(__xludf.DUMMYFUNCTION("""COMPUTED_VALUE"""),"You can't learn the DevOps culture from a book.")</f>
        <v>You can't learn the DevOps culture from a book.</v>
      </c>
      <c r="H177" s="3" t="str">
        <f>IFERROR(__xludf.DUMMYFUNCTION("""COMPUTED_VALUE"""),"You can't learn the DevOps culture from a book.")</f>
        <v>You can't learn the DevOps culture from a book.</v>
      </c>
      <c r="I177" s="2" t="s">
        <v>1525</v>
      </c>
    </row>
    <row r="178">
      <c r="A178" s="50" t="s">
        <v>3099</v>
      </c>
      <c r="B178" s="2">
        <f>IFERROR(__xludf.DUMMYFUNCTION("""COMPUTED_VALUE"""),8.0)</f>
        <v>8</v>
      </c>
      <c r="C178" s="2">
        <f>IFERROR(__xludf.DUMMYFUNCTION("""COMPUTED_VALUE"""),4.0)</f>
        <v>4</v>
      </c>
      <c r="D178" s="2" t="str">
        <f>IFERROR(__xludf.DUMMYFUNCTION("""COMPUTED_VALUE"""),"R1 / R3")</f>
        <v>R1 / R3</v>
      </c>
      <c r="E178" s="2" t="str">
        <f>IFERROR(__xludf.DUMMYFUNCTION("""COMPUTED_VALUE"""),"Educator Experience")</f>
        <v>Educator Experience</v>
      </c>
      <c r="F178" s="2" t="str">
        <f>IFERROR(__xludf.DUMMYFUNCTION("""COMPUTED_VALUE"""),"recommendation")</f>
        <v>recommendation</v>
      </c>
      <c r="G178" s="3" t="str">
        <f>IFERROR(__xludf.DUMMYFUNCTION("""COMPUTED_VALUE"""),"my classes are about an hour lecture. And then the other hour and a half is lab it's hands-on, you know, I give them a concept, let's go do it. And by doing it, that's where it really sticks.")</f>
        <v>my classes are about an hour lecture. And then the other hour and a half is lab it's hands-on, you know, I give them a concept, let's go do it. And by doing it, that's where it really sticks.</v>
      </c>
      <c r="H178" s="3" t="str">
        <f>IFERROR(__xludf.DUMMYFUNCTION("""COMPUTED_VALUE"""),"Teach each DevOps concept using one hour lecture followed by one hour and a half lab hands-on.")</f>
        <v>Teach each DevOps concept using one hour lecture followed by one hour and a half lab hands-on.</v>
      </c>
      <c r="I178" s="2" t="s">
        <v>3535</v>
      </c>
    </row>
    <row r="179">
      <c r="A179" s="50" t="s">
        <v>3101</v>
      </c>
      <c r="B179" s="2">
        <f>IFERROR(__xludf.DUMMYFUNCTION("""COMPUTED_VALUE"""),8.0)</f>
        <v>8</v>
      </c>
      <c r="C179" s="2">
        <f>IFERROR(__xludf.DUMMYFUNCTION("""COMPUTED_VALUE"""),6.0)</f>
        <v>6</v>
      </c>
      <c r="D179" s="2" t="str">
        <f>IFERROR(__xludf.DUMMYFUNCTION("""COMPUTED_VALUE"""),"R1 / R2")</f>
        <v>R1 / R2</v>
      </c>
      <c r="E179" s="2" t="str">
        <f>IFERROR(__xludf.DUMMYFUNCTION("""COMPUTED_VALUE"""),"Educator Experience")</f>
        <v>Educator Experience</v>
      </c>
      <c r="F179" s="2" t="str">
        <f>IFERROR(__xludf.DUMMYFUNCTION("""COMPUTED_VALUE"""),"recommendation")</f>
        <v>recommendation</v>
      </c>
      <c r="G179" s="3" t="str">
        <f>IFERROR(__xludf.DUMMYFUNCTION("""COMPUTED_VALUE""")," So sometimes a student will say to me: ""professor, what do I do if another student is like not pulling their weight on the team?"", And I say: ""when you go to a job interview, you're going to be asked the question, tell me about a time when a member of"&amp;" your team wasn't pulling their weight. And what did you do to get them excited and to contribute again, today's the day to go write that story. Today's the data to write the answer to that question"".")</f>
        <v> So sometimes a student will say to me: "professor, what do I do if another student is like not pulling their weight on the team?", And I say: "when you go to a job interview, you're going to be asked the question, tell me about a time when a member of your team wasn't pulling their weight. And what did you do to get them excited and to contribute again, today's the day to go write that story. Today's the data to write the answer to that question".</v>
      </c>
      <c r="H179" s="3" t="str">
        <f>IFERROR(__xludf.DUMMYFUNCTION("""COMPUTED_VALUE"""),"Make the group motivation a responsibility of themselves, students should motivate each other.")</f>
        <v>Make the group motivation a responsibility of themselves, students should motivate each other.</v>
      </c>
      <c r="I179" s="2" t="s">
        <v>492</v>
      </c>
    </row>
    <row r="180">
      <c r="A180" s="50" t="s">
        <v>3103</v>
      </c>
      <c r="B180" s="2">
        <f>IFERROR(__xludf.DUMMYFUNCTION("""COMPUTED_VALUE"""),8.0)</f>
        <v>8</v>
      </c>
      <c r="C180" s="2">
        <f>IFERROR(__xludf.DUMMYFUNCTION("""COMPUTED_VALUE"""),6.0)</f>
        <v>6</v>
      </c>
      <c r="D180" s="2" t="str">
        <f>IFERROR(__xludf.DUMMYFUNCTION("""COMPUTED_VALUE"""),"R1 / R2")</f>
        <v>R1 / R2</v>
      </c>
      <c r="E180" s="2" t="str">
        <f>IFERROR(__xludf.DUMMYFUNCTION("""COMPUTED_VALUE"""),"Educator Experience")</f>
        <v>Educator Experience</v>
      </c>
      <c r="F180" s="2" t="str">
        <f>IFERROR(__xludf.DUMMYFUNCTION("""COMPUTED_VALUE"""),"recommendation")</f>
        <v>recommendation</v>
      </c>
      <c r="G180" s="3" t="str">
        <f>IFERROR(__xludf.DUMMYFUNCTION("""COMPUTED_VALUE"""),"You need to sit together and experience because if you can't work as a team, you're not gonna make it right out in industry because we want team players. I don't want heroes. I don't want people who saved the day. I want people who mentor each other.")</f>
        <v>You need to sit together and experience because if you can't work as a team, you're not gonna make it right out in industry because we want team players. I don't want heroes. I don't want people who saved the day. I want people who mentor each other.</v>
      </c>
      <c r="H180" s="3" t="str">
        <f>IFERROR(__xludf.DUMMYFUNCTION("""COMPUTED_VALUE"""),"Teaching how to students mentor each other is one of the most important things and must be a priority.")</f>
        <v>Teaching how to students mentor each other is one of the most important things and must be a priority.</v>
      </c>
      <c r="I180" s="2" t="s">
        <v>1078</v>
      </c>
    </row>
    <row r="181">
      <c r="A181" s="50" t="s">
        <v>3104</v>
      </c>
      <c r="B181" s="2">
        <f>IFERROR(__xludf.DUMMYFUNCTION("""COMPUTED_VALUE"""),8.0)</f>
        <v>8</v>
      </c>
      <c r="C181" s="2">
        <f>IFERROR(__xludf.DUMMYFUNCTION("""COMPUTED_VALUE"""),6.0)</f>
        <v>6</v>
      </c>
      <c r="D181" s="2" t="str">
        <f>IFERROR(__xludf.DUMMYFUNCTION("""COMPUTED_VALUE"""),"R1 / R2")</f>
        <v>R1 / R2</v>
      </c>
      <c r="E181" s="2" t="str">
        <f>IFERROR(__xludf.DUMMYFUNCTION("""COMPUTED_VALUE"""),"Educator Experience")</f>
        <v>Educator Experience</v>
      </c>
      <c r="F181" s="2" t="str">
        <f>IFERROR(__xludf.DUMMYFUNCTION("""COMPUTED_VALUE"""),"recommendation")</f>
        <v>recommendation</v>
      </c>
      <c r="G181" s="3" t="str">
        <f>IFERROR(__xludf.DUMMYFUNCTION("""COMPUTED_VALUE""")," working as an agile team and using the DevOps tools, but most importantly, living the DevOps culture")</f>
        <v> working as an agile team and using the DevOps tools, but most importantly, living the DevOps culture</v>
      </c>
      <c r="H181" s="3" t="str">
        <f>IFERROR(__xludf.DUMMYFUNCTION("""COMPUTED_VALUE"""),"Living DevOps culture is most important than just learning DevOps tools.")</f>
        <v>Living DevOps culture is most important than just learning DevOps tools.</v>
      </c>
      <c r="I181" s="2" t="s">
        <v>3536</v>
      </c>
    </row>
    <row r="182">
      <c r="A182" s="50" t="s">
        <v>3106</v>
      </c>
      <c r="B182" s="2">
        <f>IFERROR(__xludf.DUMMYFUNCTION("""COMPUTED_VALUE"""),8.0)</f>
        <v>8</v>
      </c>
      <c r="C182" s="2">
        <f>IFERROR(__xludf.DUMMYFUNCTION("""COMPUTED_VALUE"""),7.0)</f>
        <v>7</v>
      </c>
      <c r="D182" s="2" t="str">
        <f>IFERROR(__xludf.DUMMYFUNCTION("""COMPUTED_VALUE"""),"R2 / R3")</f>
        <v>R2 / R3</v>
      </c>
      <c r="E182" s="2" t="str">
        <f>IFERROR(__xludf.DUMMYFUNCTION("""COMPUTED_VALUE"""),"General Challenges and Recommendations")</f>
        <v>General Challenges and Recommendations</v>
      </c>
      <c r="F182" s="2" t="str">
        <f>IFERROR(__xludf.DUMMYFUNCTION("""COMPUTED_VALUE"""),"recommendation")</f>
        <v>recommendation</v>
      </c>
      <c r="G182" s="3" t="str">
        <f>IFERROR(__xludf.DUMMYFUNCTION("""COMPUTED_VALUE"""),"Do they understand what the cloud is? It'd be great if there was a cloud course before mine, but there isn't.")</f>
        <v>Do they understand what the cloud is? It'd be great if there was a cloud course before mine, but there isn't.</v>
      </c>
      <c r="H182" s="3" t="str">
        <f>IFERROR(__xludf.DUMMYFUNCTION("""COMPUTED_VALUE"""),"It'd be great if there was a Cloud course before DevOps course.")</f>
        <v>It'd be great if there was a Cloud course before DevOps course.</v>
      </c>
      <c r="I182" s="2" t="s">
        <v>1532</v>
      </c>
    </row>
    <row r="183">
      <c r="A183" s="50" t="s">
        <v>3108</v>
      </c>
      <c r="B183" s="2">
        <f>IFERROR(__xludf.DUMMYFUNCTION("""COMPUTED_VALUE"""),8.0)</f>
        <v>8</v>
      </c>
      <c r="C183" s="2">
        <f>IFERROR(__xludf.DUMMYFUNCTION("""COMPUTED_VALUE"""),7.0)</f>
        <v>7</v>
      </c>
      <c r="D183" s="2" t="str">
        <f>IFERROR(__xludf.DUMMYFUNCTION("""COMPUTED_VALUE"""),"R2 / R3")</f>
        <v>R2 / R3</v>
      </c>
      <c r="E183" s="2" t="str">
        <f>IFERROR(__xludf.DUMMYFUNCTION("""COMPUTED_VALUE"""),"General Challenges and Recommendations")</f>
        <v>General Challenges and Recommendations</v>
      </c>
      <c r="F183" s="2" t="str">
        <f>IFERROR(__xludf.DUMMYFUNCTION("""COMPUTED_VALUE"""),"recommendation")</f>
        <v>recommendation</v>
      </c>
      <c r="G183" s="3" t="str">
        <f>IFERROR(__xludf.DUMMYFUNCTION("""COMPUTED_VALUE"""),"so I don't care if you using windows or using Mac or whatever you're using. We're all going to learn a bunch of Linux and we're going to deploy all our stuff, using a bunch of it and use all the tools in a bunch of.")</f>
        <v>so I don't care if you using windows or using Mac or whatever you're using. We're all going to learn a bunch of Linux and we're going to deploy all our stuff, using a bunch of it and use all the tools in a bunch of.</v>
      </c>
      <c r="H183" s="3" t="str">
        <f>IFERROR(__xludf.DUMMYFUNCTION("""COMPUTED_VALUE"""),"Use Linux operational system.")</f>
        <v>Use Linux operational system.</v>
      </c>
      <c r="I183" s="2" t="s">
        <v>3537</v>
      </c>
    </row>
    <row r="184">
      <c r="A184" s="50" t="s">
        <v>3109</v>
      </c>
      <c r="B184" s="2">
        <f>IFERROR(__xludf.DUMMYFUNCTION("""COMPUTED_VALUE"""),8.0)</f>
        <v>8</v>
      </c>
      <c r="C184" s="2">
        <f>IFERROR(__xludf.DUMMYFUNCTION("""COMPUTED_VALUE"""),7.0)</f>
        <v>7</v>
      </c>
      <c r="D184" s="2" t="str">
        <f>IFERROR(__xludf.DUMMYFUNCTION("""COMPUTED_VALUE"""),"R2 / R3")</f>
        <v>R2 / R3</v>
      </c>
      <c r="E184" s="2" t="str">
        <f>IFERROR(__xludf.DUMMYFUNCTION("""COMPUTED_VALUE"""),"General Challenges and Recommendations")</f>
        <v>General Challenges and Recommendations</v>
      </c>
      <c r="F184" s="2" t="str">
        <f>IFERROR(__xludf.DUMMYFUNCTION("""COMPUTED_VALUE"""),"recommendation")</f>
        <v>recommendation</v>
      </c>
      <c r="G184" s="3" t="str">
        <f>IFERROR(__xludf.DUMMYFUNCTION("""COMPUTED_VALUE"""),"We use Vagrant and VirtualBox. And so I don't care if you using windows or using Mac or whatever you're using.")</f>
        <v>We use Vagrant and VirtualBox. And so I don't care if you using windows or using Mac or whatever you're using.</v>
      </c>
      <c r="H184" s="3" t="str">
        <f>IFERROR(__xludf.DUMMYFUNCTION("""COMPUTED_VALUE"""),"Vagrant and VirtualBox are useful to create consistent development environment.")</f>
        <v>Vagrant and VirtualBox are useful to create consistent development environment.</v>
      </c>
      <c r="I184" s="2" t="s">
        <v>2423</v>
      </c>
    </row>
    <row r="185">
      <c r="A185" s="50" t="s">
        <v>3111</v>
      </c>
      <c r="B185" s="2">
        <f>IFERROR(__xludf.DUMMYFUNCTION("""COMPUTED_VALUE"""),8.0)</f>
        <v>8</v>
      </c>
      <c r="C185" s="2">
        <f>IFERROR(__xludf.DUMMYFUNCTION("""COMPUTED_VALUE"""),8.0)</f>
        <v>8</v>
      </c>
      <c r="D185" s="2" t="str">
        <f>IFERROR(__xludf.DUMMYFUNCTION("""COMPUTED_VALUE"""),"R1 / R3")</f>
        <v>R1 / R3</v>
      </c>
      <c r="E185" s="2" t="str">
        <f>IFERROR(__xludf.DUMMYFUNCTION("""COMPUTED_VALUE"""),"Environment Setup")</f>
        <v>Environment Setup</v>
      </c>
      <c r="F185" s="2" t="str">
        <f>IFERROR(__xludf.DUMMYFUNCTION("""COMPUTED_VALUE"""),"recommendation")</f>
        <v>recommendation</v>
      </c>
      <c r="G185" s="3" t="str">
        <f>IFERROR(__xludf.DUMMYFUNCTION("""COMPUTED_VALUE"""),"the environment setup is key. What I would love to do is have an environment in the cloud. That's always consistent. That would kind of be the best. ")</f>
        <v>the environment setup is key. What I would love to do is have an environment in the cloud. That's always consistent. That would kind of be the best. </v>
      </c>
      <c r="H185" s="3" t="str">
        <f>IFERROR(__xludf.DUMMYFUNCTION("""COMPUTED_VALUE"""),"Do environment setup in the cloud is the best option because they are always consistent.")</f>
        <v>Do environment setup in the cloud is the best option because they are always consistent.</v>
      </c>
      <c r="I185" s="2" t="s">
        <v>3538</v>
      </c>
    </row>
    <row r="186">
      <c r="A186" s="50" t="s">
        <v>3113</v>
      </c>
      <c r="B186" s="2">
        <f>IFERROR(__xludf.DUMMYFUNCTION("""COMPUTED_VALUE"""),8.0)</f>
        <v>8</v>
      </c>
      <c r="C186" s="2">
        <f>IFERROR(__xludf.DUMMYFUNCTION("""COMPUTED_VALUE"""),8.0)</f>
        <v>8</v>
      </c>
      <c r="D186" s="2" t="str">
        <f>IFERROR(__xludf.DUMMYFUNCTION("""COMPUTED_VALUE"""),"R1 / R3")</f>
        <v>R1 / R3</v>
      </c>
      <c r="E186" s="2" t="str">
        <f>IFERROR(__xludf.DUMMYFUNCTION("""COMPUTED_VALUE"""),"Environment Setup")</f>
        <v>Environment Setup</v>
      </c>
      <c r="F186" s="2" t="str">
        <f>IFERROR(__xludf.DUMMYFUNCTION("""COMPUTED_VALUE"""),"recommendation")</f>
        <v>recommendation</v>
      </c>
      <c r="G186" s="3" t="str">
        <f>IFERROR(__xludf.DUMMYFUNCTION("""COMPUTED_VALUE"""),"I selected Vagrant and virtualbox because they're both free. ... so I had to change the class for them to use Docker and VirtualBox. ")</f>
        <v>I selected Vagrant and virtualbox because they're both free. ... so I had to change the class for them to use Docker and VirtualBox. </v>
      </c>
      <c r="H186" s="3" t="str">
        <f>IFERROR(__xludf.DUMMYFUNCTION("""COMPUTED_VALUE"""),"I selected Vagrant and virtualbox because they're free.")</f>
        <v>I selected Vagrant and virtualbox because they're free.</v>
      </c>
      <c r="I186" s="2" t="s">
        <v>1542</v>
      </c>
    </row>
    <row r="187">
      <c r="A187" s="50" t="s">
        <v>3115</v>
      </c>
      <c r="B187" s="2">
        <f>IFERROR(__xludf.DUMMYFUNCTION("""COMPUTED_VALUE"""),8.0)</f>
        <v>8</v>
      </c>
      <c r="C187" s="2">
        <f>IFERROR(__xludf.DUMMYFUNCTION("""COMPUTED_VALUE"""),8.0)</f>
        <v>8</v>
      </c>
      <c r="D187" s="2" t="str">
        <f>IFERROR(__xludf.DUMMYFUNCTION("""COMPUTED_VALUE"""),"R1 / R3")</f>
        <v>R1 / R3</v>
      </c>
      <c r="E187" s="2" t="str">
        <f>IFERROR(__xludf.DUMMYFUNCTION("""COMPUTED_VALUE"""),"Environment Setup")</f>
        <v>Environment Setup</v>
      </c>
      <c r="F187" s="2" t="str">
        <f>IFERROR(__xludf.DUMMYFUNCTION("""COMPUTED_VALUE"""),"recommendation")</f>
        <v>recommendation</v>
      </c>
      <c r="G187" s="3" t="str">
        <f>IFERROR(__xludf.DUMMYFUNCTION("""COMPUTED_VALUE"""),"I selected Vagrant and virtualbox because they're both free. ... so I had to change the class for them to use Docker and VirtualBox. ")</f>
        <v>I selected Vagrant and virtualbox because they're both free. ... so I had to change the class for them to use Docker and VirtualBox. </v>
      </c>
      <c r="H187" s="3" t="str">
        <f>IFERROR(__xludf.DUMMYFUNCTION("""COMPUTED_VALUE"""),"I selected docker docker because it is free.")</f>
        <v>I selected docker docker because it is free.</v>
      </c>
      <c r="I187" s="2" t="s">
        <v>1542</v>
      </c>
    </row>
    <row r="188">
      <c r="A188" s="50" t="s">
        <v>3539</v>
      </c>
      <c r="B188" s="2">
        <f>IFERROR(__xludf.DUMMYFUNCTION("""COMPUTED_VALUE"""),8.0)</f>
        <v>8</v>
      </c>
      <c r="C188" s="2">
        <f>IFERROR(__xludf.DUMMYFUNCTION("""COMPUTED_VALUE"""),8.0)</f>
        <v>8</v>
      </c>
      <c r="D188" s="2" t="str">
        <f>IFERROR(__xludf.DUMMYFUNCTION("""COMPUTED_VALUE"""),"R1 / R3")</f>
        <v>R1 / R3</v>
      </c>
      <c r="E188" s="2" t="str">
        <f>IFERROR(__xludf.DUMMYFUNCTION("""COMPUTED_VALUE"""),"Environment Setup")</f>
        <v>Environment Setup</v>
      </c>
      <c r="F188" s="2" t="str">
        <f>IFERROR(__xludf.DUMMYFUNCTION("""COMPUTED_VALUE"""),"recommendation")</f>
        <v>recommendation</v>
      </c>
      <c r="G188" s="2" t="str">
        <f>IFERROR(__xludf.DUMMYFUNCTION("""COMPUTED_VALUE"""),"They call my repo, Vagrant up and they're up and running. And so that's how I solve that problem. Bigger. It does a very good job of solving that consistent environments for students. ")</f>
        <v>They call my repo, Vagrant up and they're up and running. And so that's how I solve that problem. Bigger. It does a very good job of solving that consistent environments for students. </v>
      </c>
      <c r="H188" s="2" t="str">
        <f>IFERROR(__xludf.DUMMYFUNCTION("""COMPUTED_VALUE"""),"Make environment setup consistent between students using Vagrant.")</f>
        <v>Make environment setup consistent between students using Vagrant.</v>
      </c>
      <c r="I188" s="2" t="s">
        <v>3540</v>
      </c>
    </row>
    <row r="189">
      <c r="A189" s="50" t="s">
        <v>3117</v>
      </c>
      <c r="B189" s="2">
        <f>IFERROR(__xludf.DUMMYFUNCTION("""COMPUTED_VALUE"""),8.0)</f>
        <v>8</v>
      </c>
      <c r="C189" s="2">
        <f>IFERROR(__xludf.DUMMYFUNCTION("""COMPUTED_VALUE"""),8.0)</f>
        <v>8</v>
      </c>
      <c r="D189" s="2" t="str">
        <f>IFERROR(__xludf.DUMMYFUNCTION("""COMPUTED_VALUE"""),"R1 / R3")</f>
        <v>R1 / R3</v>
      </c>
      <c r="E189" s="2" t="str">
        <f>IFERROR(__xludf.DUMMYFUNCTION("""COMPUTED_VALUE"""),"Environment Setup")</f>
        <v>Environment Setup</v>
      </c>
      <c r="F189" s="2" t="str">
        <f>IFERROR(__xludf.DUMMYFUNCTION("""COMPUTED_VALUE"""),"recommendation")</f>
        <v>recommendation</v>
      </c>
      <c r="G189" s="3" t="str">
        <f>IFERROR(__xludf.DUMMYFUNCTION("""COMPUTED_VALUE"""),"we use selenium to, to work on the, uh, on the UI, as a browser")</f>
        <v>we use selenium to, to work on the, uh, on the UI, as a browser</v>
      </c>
      <c r="H189" s="3" t="str">
        <f>IFERROR(__xludf.DUMMYFUNCTION("""COMPUTED_VALUE"""),"Uses Selenium to automate UI tests.")</f>
        <v>Uses Selenium to automate UI tests.</v>
      </c>
      <c r="I189" s="2" t="s">
        <v>3541</v>
      </c>
    </row>
    <row r="190">
      <c r="A190" s="50" t="s">
        <v>3119</v>
      </c>
      <c r="B190" s="2">
        <f>IFERROR(__xludf.DUMMYFUNCTION("""COMPUTED_VALUE"""),8.0)</f>
        <v>8</v>
      </c>
      <c r="C190" s="2">
        <f>IFERROR(__xludf.DUMMYFUNCTION("""COMPUTED_VALUE"""),9.0)</f>
        <v>9</v>
      </c>
      <c r="D190" s="2" t="str">
        <f>IFERROR(__xludf.DUMMYFUNCTION("""COMPUTED_VALUE"""),"R1 / R3")</f>
        <v>R1 / R3</v>
      </c>
      <c r="E190" s="2" t="str">
        <f>IFERROR(__xludf.DUMMYFUNCTION("""COMPUTED_VALUE"""),"Tool / Technology")</f>
        <v>Tool / Technology</v>
      </c>
      <c r="F190" s="2" t="str">
        <f>IFERROR(__xludf.DUMMYFUNCTION("""COMPUTED_VALUE"""),"recommendation")</f>
        <v>recommendation</v>
      </c>
      <c r="G190" s="3" t="str">
        <f>IFERROR(__xludf.DUMMYFUNCTION("""COMPUTED_VALUE"""),"Students will ask me, can I use a different test suite? Can I use, you know, something different? And I'll say, well, you can, but then it's up to you to figure out how it integrates back into everything. ")</f>
        <v>Students will ask me, can I use a different test suite? Can I use, you know, something different? And I'll say, well, you can, but then it's up to you to figure out how it integrates back into everything. </v>
      </c>
      <c r="H190" s="3" t="str">
        <f>IFERROR(__xludf.DUMMYFUNCTION("""COMPUTED_VALUE"""),"Students could use other tools non-taught without professor support.")</f>
        <v>Students could use other tools non-taught without professor support.</v>
      </c>
      <c r="I190" s="2" t="s">
        <v>512</v>
      </c>
    </row>
    <row r="191">
      <c r="A191" s="50" t="s">
        <v>3121</v>
      </c>
      <c r="B191" s="2">
        <f>IFERROR(__xludf.DUMMYFUNCTION("""COMPUTED_VALUE"""),8.0)</f>
        <v>8</v>
      </c>
      <c r="C191" s="2">
        <f>IFERROR(__xludf.DUMMYFUNCTION("""COMPUTED_VALUE"""),9.0)</f>
        <v>9</v>
      </c>
      <c r="D191" s="2" t="str">
        <f>IFERROR(__xludf.DUMMYFUNCTION("""COMPUTED_VALUE"""),"R1 / R3")</f>
        <v>R1 / R3</v>
      </c>
      <c r="E191" s="2" t="str">
        <f>IFERROR(__xludf.DUMMYFUNCTION("""COMPUTED_VALUE"""),"Tool / Technology")</f>
        <v>Tool / Technology</v>
      </c>
      <c r="F191" s="2" t="str">
        <f>IFERROR(__xludf.DUMMYFUNCTION("""COMPUTED_VALUE"""),"recommendation")</f>
        <v>recommendation</v>
      </c>
      <c r="G191" s="3" t="str">
        <f>IFERROR(__xludf.DUMMYFUNCTION("""COMPUTED_VALUE""")," I also try to use a set of tools that are popular in the industry. ")</f>
        <v> I also try to use a set of tools that are popular in the industry. </v>
      </c>
      <c r="H191" s="3" t="str">
        <f>IFERROR(__xludf.DUMMYFUNCTION("""COMPUTED_VALUE"""),"Use popular industry tools.")</f>
        <v>Use popular industry tools.</v>
      </c>
      <c r="I191" s="2" t="s">
        <v>3542</v>
      </c>
    </row>
    <row r="192">
      <c r="A192" s="50" t="s">
        <v>3123</v>
      </c>
      <c r="B192" s="2">
        <f>IFERROR(__xludf.DUMMYFUNCTION("""COMPUTED_VALUE"""),8.0)</f>
        <v>8</v>
      </c>
      <c r="C192" s="2">
        <f>IFERROR(__xludf.DUMMYFUNCTION("""COMPUTED_VALUE"""),9.0)</f>
        <v>9</v>
      </c>
      <c r="D192" s="2" t="str">
        <f>IFERROR(__xludf.DUMMYFUNCTION("""COMPUTED_VALUE"""),"R1 / R3")</f>
        <v>R1 / R3</v>
      </c>
      <c r="E192" s="2" t="str">
        <f>IFERROR(__xludf.DUMMYFUNCTION("""COMPUTED_VALUE"""),"Tool / Technology")</f>
        <v>Tool / Technology</v>
      </c>
      <c r="F192" s="2" t="str">
        <f>IFERROR(__xludf.DUMMYFUNCTION("""COMPUTED_VALUE"""),"recommendation")</f>
        <v>recommendation</v>
      </c>
      <c r="G192" s="3" t="str">
        <f>IFERROR(__xludf.DUMMYFUNCTION("""COMPUTED_VALUE"""),"   People use an Argo CD to do continuous delivery. They used to be using Jenkins. So do you still teach Jenkins? Do you teach them Argo? Um, so it's a constant, um, improvement on the tools are what tools are popular, what tools are going to get them a j"&amp;"ob in the industry, right? ")</f>
        <v>   People use an Argo CD to do continuous delivery. They used to be using Jenkins. So do you still teach Jenkins? Do you teach them Argo? Um, so it's a constant, um, improvement on the tools are what tools are popular, what tools are going to get them a job in the industry, right? </v>
      </c>
      <c r="H192" s="3" t="str">
        <f>IFERROR(__xludf.DUMMYFUNCTION("""COMPUTED_VALUE"""),"Argo CD is a more current continuous delivery tool than Jenkins.")</f>
        <v>Argo CD is a more current continuous delivery tool than Jenkins.</v>
      </c>
      <c r="I192" s="2" t="s">
        <v>518</v>
      </c>
    </row>
    <row r="193">
      <c r="A193" s="50" t="s">
        <v>3125</v>
      </c>
      <c r="B193" s="2">
        <f>IFERROR(__xludf.DUMMYFUNCTION("""COMPUTED_VALUE"""),8.0)</f>
        <v>8</v>
      </c>
      <c r="C193" s="2">
        <f>IFERROR(__xludf.DUMMYFUNCTION("""COMPUTED_VALUE"""),9.0)</f>
        <v>9</v>
      </c>
      <c r="D193" s="2" t="str">
        <f>IFERROR(__xludf.DUMMYFUNCTION("""COMPUTED_VALUE"""),"R1 / R3")</f>
        <v>R1 / R3</v>
      </c>
      <c r="E193" s="2" t="str">
        <f>IFERROR(__xludf.DUMMYFUNCTION("""COMPUTED_VALUE"""),"Tool / Technology")</f>
        <v>Tool / Technology</v>
      </c>
      <c r="F193" s="2" t="str">
        <f>IFERROR(__xludf.DUMMYFUNCTION("""COMPUTED_VALUE"""),"recommendation")</f>
        <v>recommendation</v>
      </c>
      <c r="G193" s="3" t="str">
        <f>IFERROR(__xludf.DUMMYFUNCTION("""COMPUTED_VALUE"""),"    is very critical to teach them tools that are relevant and tools that will help them get a job.")</f>
        <v>    is very critical to teach them tools that are relevant and tools that will help them get a job.</v>
      </c>
      <c r="H193" s="3" t="str">
        <f>IFERROR(__xludf.DUMMYFUNCTION("""COMPUTED_VALUE"""),"Teach tools that will help to get a job.")</f>
        <v>Teach tools that will help to get a job.</v>
      </c>
      <c r="I193" s="2" t="s">
        <v>3543</v>
      </c>
    </row>
    <row r="194">
      <c r="A194" s="50" t="s">
        <v>3127</v>
      </c>
      <c r="B194" s="2">
        <f>IFERROR(__xludf.DUMMYFUNCTION("""COMPUTED_VALUE"""),8.0)</f>
        <v>8</v>
      </c>
      <c r="C194" s="2">
        <f>IFERROR(__xludf.DUMMYFUNCTION("""COMPUTED_VALUE"""),10.0)</f>
        <v>10</v>
      </c>
      <c r="D194" s="2" t="str">
        <f>IFERROR(__xludf.DUMMYFUNCTION("""COMPUTED_VALUE"""),"R1 / R3")</f>
        <v>R1 / R3</v>
      </c>
      <c r="E194" s="2" t="str">
        <f>IFERROR(__xludf.DUMMYFUNCTION("""COMPUTED_VALUE"""),"DevOps Concepts")</f>
        <v>DevOps Concepts</v>
      </c>
      <c r="F194" s="2" t="str">
        <f>IFERROR(__xludf.DUMMYFUNCTION("""COMPUTED_VALUE"""),"recommendation")</f>
        <v>recommendation</v>
      </c>
      <c r="G194" s="3" t="str">
        <f>IFERROR(__xludf.DUMMYFUNCTION("""COMPUTED_VALUE"""),"I'm going to watch your Kanban board every week")</f>
        <v>I'm going to watch your Kanban board every week</v>
      </c>
      <c r="H194" s="3" t="str">
        <f>IFERROR(__xludf.DUMMYFUNCTION("""COMPUTED_VALUE"""),"Teach Kanban board.")</f>
        <v>Teach Kanban board.</v>
      </c>
      <c r="I194" s="2" t="s">
        <v>3544</v>
      </c>
    </row>
    <row r="195">
      <c r="A195" s="50" t="s">
        <v>3129</v>
      </c>
      <c r="B195" s="2">
        <f>IFERROR(__xludf.DUMMYFUNCTION("""COMPUTED_VALUE"""),8.0)</f>
        <v>8</v>
      </c>
      <c r="C195" s="2">
        <f>IFERROR(__xludf.DUMMYFUNCTION("""COMPUTED_VALUE"""),10.0)</f>
        <v>10</v>
      </c>
      <c r="D195" s="2" t="str">
        <f>IFERROR(__xludf.DUMMYFUNCTION("""COMPUTED_VALUE"""),"R1 / R3")</f>
        <v>R1 / R3</v>
      </c>
      <c r="E195" s="2" t="str">
        <f>IFERROR(__xludf.DUMMYFUNCTION("""COMPUTED_VALUE"""),"DevOps Concepts")</f>
        <v>DevOps Concepts</v>
      </c>
      <c r="F195" s="2" t="str">
        <f>IFERROR(__xludf.DUMMYFUNCTION("""COMPUTED_VALUE"""),"recommendation")</f>
        <v>recommendation</v>
      </c>
      <c r="G195" s="3" t="str">
        <f>IFERROR(__xludf.DUMMYFUNCTION("""COMPUTED_VALUE"""),"you can't just grade what they submit. You have to watch how they're working.")</f>
        <v>you can't just grade what they submit. You have to watch how they're working.</v>
      </c>
      <c r="H195" s="3" t="str">
        <f>IFERROR(__xludf.DUMMYFUNCTION("""COMPUTED_VALUE"""),"Grade based how the students working their tasks and not only what they are submitting.")</f>
        <v>Grade based how the students working their tasks and not only what they are submitting.</v>
      </c>
      <c r="I195" s="2" t="s">
        <v>3545</v>
      </c>
    </row>
    <row r="196">
      <c r="A196" s="50" t="s">
        <v>3131</v>
      </c>
      <c r="B196" s="2">
        <f>IFERROR(__xludf.DUMMYFUNCTION("""COMPUTED_VALUE"""),8.0)</f>
        <v>8</v>
      </c>
      <c r="C196" s="2">
        <f>IFERROR(__xludf.DUMMYFUNCTION("""COMPUTED_VALUE"""),10.0)</f>
        <v>10</v>
      </c>
      <c r="D196" s="2" t="str">
        <f>IFERROR(__xludf.DUMMYFUNCTION("""COMPUTED_VALUE"""),"R1 / R3")</f>
        <v>R1 / R3</v>
      </c>
      <c r="E196" s="2" t="str">
        <f>IFERROR(__xludf.DUMMYFUNCTION("""COMPUTED_VALUE"""),"DevOps Concepts")</f>
        <v>DevOps Concepts</v>
      </c>
      <c r="F196" s="2" t="str">
        <f>IFERROR(__xludf.DUMMYFUNCTION("""COMPUTED_VALUE"""),"recommendation")</f>
        <v>recommendation</v>
      </c>
      <c r="G196" s="3" t="str">
        <f>IFERROR(__xludf.DUMMYFUNCTION("""COMPUTED_VALUE"""),"it's tough to get the students to be more social if you will, in their coding practices and do pair programming, uh, and follow the, get feature branch workflow. ")</f>
        <v>it's tough to get the students to be more social if you will, in their coding practices and do pair programming, uh, and follow the, get feature branch workflow. </v>
      </c>
      <c r="H196" s="3" t="str">
        <f>IFERROR(__xludf.DUMMYFUNCTION("""COMPUTED_VALUE"""),"Get the students to be more social in their coding practices and do pair programming, and follow the get feature branch workflow. ")</f>
        <v>Get the students to be more social in their coding practices and do pair programming, and follow the get feature branch workflow. </v>
      </c>
      <c r="I196" s="2" t="s">
        <v>3546</v>
      </c>
    </row>
    <row r="197">
      <c r="A197" s="50" t="s">
        <v>3132</v>
      </c>
      <c r="B197" s="2">
        <f>IFERROR(__xludf.DUMMYFUNCTION("""COMPUTED_VALUE"""),8.0)</f>
        <v>8</v>
      </c>
      <c r="C197" s="2">
        <f>IFERROR(__xludf.DUMMYFUNCTION("""COMPUTED_VALUE"""),11.0)</f>
        <v>11</v>
      </c>
      <c r="D197" s="2" t="str">
        <f>IFERROR(__xludf.DUMMYFUNCTION("""COMPUTED_VALUE"""),"R1 / R2")</f>
        <v>R1 / R2</v>
      </c>
      <c r="E197" s="2" t="str">
        <f>IFERROR(__xludf.DUMMYFUNCTION("""COMPUTED_VALUE"""),"Class Preparation")</f>
        <v>Class Preparation</v>
      </c>
      <c r="F197" s="2" t="str">
        <f>IFERROR(__xludf.DUMMYFUNCTION("""COMPUTED_VALUE"""),"recommendation")</f>
        <v>recommendation</v>
      </c>
      <c r="G197" s="3" t="str">
        <f>IFERROR(__xludf.DUMMYFUNCTION("""COMPUTED_VALUE"""),"I actually last semester I prepared something on Sunday. And when I got Wednesday, when we had the class and I went to the cloud, the cloud had changed. [...] we're pushing to the IBM cloud the other night and it said there's an, there's a new update avai"&amp;"lable for the tool. Uh, you know, version two, it may have breaking changes. And I said, timeout, nobody press, yes, everybody press no, because that's not the version I used on the weekend ")</f>
        <v>I actually last semester I prepared something on Sunday. And when I got Wednesday, when we had the class and I went to the cloud, the cloud had changed. [...] we're pushing to the IBM cloud the other night and it said there's an, there's a new update available for the tool. Uh, you know, version two, it may have breaking changes. And I said, timeout, nobody press, yes, everybody press no, because that's not the version I used on the weekend </v>
      </c>
      <c r="H197" s="3" t="str">
        <f>IFERROR(__xludf.DUMMYFUNCTION("""COMPUTED_VALUE"""),"Check if the the labs work well always before start the class.")</f>
        <v>Check if the the labs work well always before start the class.</v>
      </c>
      <c r="I197" s="2" t="s">
        <v>3547</v>
      </c>
    </row>
    <row r="198">
      <c r="A198" s="50" t="s">
        <v>3134</v>
      </c>
      <c r="B198" s="2">
        <f>IFERROR(__xludf.DUMMYFUNCTION("""COMPUTED_VALUE"""),8.0)</f>
        <v>8</v>
      </c>
      <c r="C198" s="2">
        <f>IFERROR(__xludf.DUMMYFUNCTION("""COMPUTED_VALUE"""),13.0)</f>
        <v>13</v>
      </c>
      <c r="D198" s="2" t="str">
        <f>IFERROR(__xludf.DUMMYFUNCTION("""COMPUTED_VALUE"""),"R1 / R3")</f>
        <v>R1 / R3</v>
      </c>
      <c r="E198" s="2" t="str">
        <f>IFERROR(__xludf.DUMMYFUNCTION("""COMPUTED_VALUE"""),"Pedagogy")</f>
        <v>Pedagogy</v>
      </c>
      <c r="F198" s="2" t="str">
        <f>IFERROR(__xludf.DUMMYFUNCTION("""COMPUTED_VALUE"""),"recommendation")</f>
        <v>recommendation</v>
      </c>
      <c r="G198" s="3" t="str">
        <f>IFERROR(__xludf.DUMMYFUNCTION("""COMPUTED_VALUE"""),"because of the remote learning  [...] I've been teaching my classes on zoom.   ")</f>
        <v>because of the remote learning  [...] I've been teaching my classes on zoom.   </v>
      </c>
      <c r="H198" s="3" t="str">
        <f>IFERROR(__xludf.DUMMYFUNCTION("""COMPUTED_VALUE"""),"Use Zoom in remote learning scenario.")</f>
        <v>Use Zoom in remote learning scenario.</v>
      </c>
      <c r="I198" s="2" t="s">
        <v>3548</v>
      </c>
    </row>
    <row r="199">
      <c r="A199" s="50" t="s">
        <v>3135</v>
      </c>
      <c r="B199" s="2">
        <f>IFERROR(__xludf.DUMMYFUNCTION("""COMPUTED_VALUE"""),8.0)</f>
        <v>8</v>
      </c>
      <c r="C199" s="2">
        <f>IFERROR(__xludf.DUMMYFUNCTION("""COMPUTED_VALUE"""),13.0)</f>
        <v>13</v>
      </c>
      <c r="D199" s="2" t="str">
        <f>IFERROR(__xludf.DUMMYFUNCTION("""COMPUTED_VALUE"""),"R1 / R3")</f>
        <v>R1 / R3</v>
      </c>
      <c r="E199" s="2" t="str">
        <f>IFERROR(__xludf.DUMMYFUNCTION("""COMPUTED_VALUE"""),"Pedagogy")</f>
        <v>Pedagogy</v>
      </c>
      <c r="F199" s="2" t="str">
        <f>IFERROR(__xludf.DUMMYFUNCTION("""COMPUTED_VALUE"""),"recommendation")</f>
        <v>recommendation</v>
      </c>
      <c r="G199" s="3" t="str">
        <f>IFERROR(__xludf.DUMMYFUNCTION("""COMPUTED_VALUE"""),"So without having, uh, physically having a technical assistance in the class and I do have TA's on with my zoom and they do help students over slack, uh, to get things going,")</f>
        <v>So without having, uh, physically having a technical assistance in the class and I do have TA's on with my zoom and they do help students over slack, uh, to get things going,</v>
      </c>
      <c r="H199" s="3" t="str">
        <f>IFERROR(__xludf.DUMMYFUNCTION("""COMPUTED_VALUE"""),"Teatcher assistence help students over slack managing questions.")</f>
        <v>Teatcher assistence help students over slack managing questions.</v>
      </c>
      <c r="I199" s="2" t="s">
        <v>3549</v>
      </c>
    </row>
    <row r="200">
      <c r="A200" s="50" t="s">
        <v>3137</v>
      </c>
      <c r="B200" s="2">
        <f>IFERROR(__xludf.DUMMYFUNCTION("""COMPUTED_VALUE"""),8.0)</f>
        <v>8</v>
      </c>
      <c r="C200" s="2">
        <f>IFERROR(__xludf.DUMMYFUNCTION("""COMPUTED_VALUE"""),14.0)</f>
        <v>14</v>
      </c>
      <c r="D200" s="2" t="str">
        <f>IFERROR(__xludf.DUMMYFUNCTION("""COMPUTED_VALUE"""),"R1 / R3")</f>
        <v>R1 / R3</v>
      </c>
      <c r="E200" s="2" t="str">
        <f>IFERROR(__xludf.DUMMYFUNCTION("""COMPUTED_VALUE"""),"Assessment")</f>
        <v>Assessment</v>
      </c>
      <c r="F200" s="2" t="str">
        <f>IFERROR(__xludf.DUMMYFUNCTION("""COMPUTED_VALUE"""),"recommendation")</f>
        <v>recommendation</v>
      </c>
      <c r="G200" s="3" t="str">
        <f>IFERROR(__xludf.DUMMYFUNCTION("""COMPUTED_VALUE"""),"Then I give them two exams. So the team is 40% of their grade. The exams are 60% a midterm that's 30 and a, and a final that's 30.")</f>
        <v>Then I give them two exams. So the team is 40% of their grade. The exams are 60% a midterm that's 30 and a, and a final that's 30.</v>
      </c>
      <c r="H200" s="3" t="str">
        <f>IFERROR(__xludf.DUMMYFUNCTION("""COMPUTED_VALUE"""),"So the team is 40% of their grade. The exams are 60% a midterm that's 30 and a, and a final that's 30.")</f>
        <v>So the team is 40% of their grade. The exams are 60% a midterm that's 30 and a, and a final that's 30.</v>
      </c>
      <c r="I200" s="2" t="s">
        <v>1577</v>
      </c>
    </row>
    <row r="201">
      <c r="A201" s="50" t="s">
        <v>3138</v>
      </c>
      <c r="B201" s="2">
        <f>IFERROR(__xludf.DUMMYFUNCTION("""COMPUTED_VALUE"""),8.0)</f>
        <v>8</v>
      </c>
      <c r="C201" s="2">
        <f>IFERROR(__xludf.DUMMYFUNCTION("""COMPUTED_VALUE"""),14.0)</f>
        <v>14</v>
      </c>
      <c r="D201" s="2" t="str">
        <f>IFERROR(__xludf.DUMMYFUNCTION("""COMPUTED_VALUE"""),"R1 / R3")</f>
        <v>R1 / R3</v>
      </c>
      <c r="E201" s="2" t="str">
        <f>IFERROR(__xludf.DUMMYFUNCTION("""COMPUTED_VALUE"""),"Assessment")</f>
        <v>Assessment</v>
      </c>
      <c r="F201" s="2" t="str">
        <f>IFERROR(__xludf.DUMMYFUNCTION("""COMPUTED_VALUE"""),"recommendation")</f>
        <v>recommendation</v>
      </c>
      <c r="G201" s="3" t="str">
        <f>IFERROR(__xludf.DUMMYFUNCTION("""COMPUTED_VALUE"""),"I try to get the student more engaged.... If they're not having fun, then we're, we're doing it wrong. So, so I'm making sure they're having fun.")</f>
        <v>I try to get the student more engaged.... If they're not having fun, then we're, we're doing it wrong. So, so I'm making sure they're having fun.</v>
      </c>
      <c r="H201" s="3" t="str">
        <f>IFERROR(__xludf.DUMMYFUNCTION("""COMPUTED_VALUE"""),"Try to get the student having fun in order to keep them engaged.")</f>
        <v>Try to get the student having fun in order to keep them engaged.</v>
      </c>
      <c r="I201" s="2" t="s">
        <v>1575</v>
      </c>
    </row>
    <row r="202">
      <c r="A202" s="50" t="s">
        <v>3140</v>
      </c>
      <c r="B202" s="2">
        <f>IFERROR(__xludf.DUMMYFUNCTION("""COMPUTED_VALUE"""),8.0)</f>
        <v>8</v>
      </c>
      <c r="C202" s="2">
        <f>IFERROR(__xludf.DUMMYFUNCTION("""COMPUTED_VALUE"""),14.0)</f>
        <v>14</v>
      </c>
      <c r="D202" s="2" t="str">
        <f>IFERROR(__xludf.DUMMYFUNCTION("""COMPUTED_VALUE"""),"R1 / R3")</f>
        <v>R1 / R3</v>
      </c>
      <c r="E202" s="2" t="str">
        <f>IFERROR(__xludf.DUMMYFUNCTION("""COMPUTED_VALUE"""),"Assessment")</f>
        <v>Assessment</v>
      </c>
      <c r="F202" s="2" t="str">
        <f>IFERROR(__xludf.DUMMYFUNCTION("""COMPUTED_VALUE"""),"recommendation")</f>
        <v>recommendation</v>
      </c>
      <c r="G202" s="3" t="str">
        <f>IFERROR(__xludf.DUMMYFUNCTION("""COMPUTED_VALUE""")," I don't give quizzes because I'm grading them every day, watching their Kanban boards, seeing how they're working, interacting with them on slack. ")</f>
        <v> I don't give quizzes because I'm grading them every day, watching their Kanban boards, seeing how they're working, interacting with them on slack. </v>
      </c>
      <c r="H202" s="3" t="str">
        <f>IFERROR(__xludf.DUMMYFUNCTION("""COMPUTED_VALUE"""),"You don't need quizzes if you grade the students continuously watching their Kanban boards.")</f>
        <v>You don't need quizzes if you grade the students continuously watching their Kanban boards.</v>
      </c>
      <c r="I202" s="2" t="s">
        <v>1579</v>
      </c>
    </row>
    <row r="203">
      <c r="A203" s="50" t="s">
        <v>3142</v>
      </c>
      <c r="B203" s="2">
        <f>IFERROR(__xludf.DUMMYFUNCTION("""COMPUTED_VALUE"""),8.0)</f>
        <v>8</v>
      </c>
      <c r="C203" s="2">
        <f>IFERROR(__xludf.DUMMYFUNCTION("""COMPUTED_VALUE"""),14.0)</f>
        <v>14</v>
      </c>
      <c r="D203" s="2" t="str">
        <f>IFERROR(__xludf.DUMMYFUNCTION("""COMPUTED_VALUE"""),"R1 / R3")</f>
        <v>R1 / R3</v>
      </c>
      <c r="E203" s="2" t="str">
        <f>IFERROR(__xludf.DUMMYFUNCTION("""COMPUTED_VALUE"""),"Assessment")</f>
        <v>Assessment</v>
      </c>
      <c r="F203" s="2" t="str">
        <f>IFERROR(__xludf.DUMMYFUNCTION("""COMPUTED_VALUE"""),"recommendation")</f>
        <v>recommendation</v>
      </c>
      <c r="G203" s="3" t="str">
        <f>IFERROR(__xludf.DUMMYFUNCTION("""COMPUTED_VALUE""")," in that assessment, you know, that they're, um, there are 50 multiple choice questions in each exam, no partial credit. Um, and, and so, and I give, and it's an hour, uh, you know, to go do that exam. ...  we're remote now..")</f>
        <v> in that assessment, you know, that they're, um, there are 50 multiple choice questions in each exam, no partial credit. Um, and, and so, and I give, and it's an hour, uh, you know, to go do that exam. ...  we're remote now..</v>
      </c>
      <c r="H203" s="3" t="str">
        <f>IFERROR(__xludf.DUMMYFUNCTION("""COMPUTED_VALUE"""),"50 multiple choice questions in one hour each exam if you are remote.")</f>
        <v>50 multiple choice questions in one hour each exam if you are remote.</v>
      </c>
      <c r="I203" s="2" t="s">
        <v>3550</v>
      </c>
    </row>
    <row r="204">
      <c r="A204" s="50" t="s">
        <v>3144</v>
      </c>
      <c r="B204" s="2">
        <f>IFERROR(__xludf.DUMMYFUNCTION("""COMPUTED_VALUE"""),8.0)</f>
        <v>8</v>
      </c>
      <c r="C204" s="2">
        <f>IFERROR(__xludf.DUMMYFUNCTION("""COMPUTED_VALUE"""),15.0)</f>
        <v>15</v>
      </c>
      <c r="D204" s="2" t="str">
        <f>IFERROR(__xludf.DUMMYFUNCTION("""COMPUTED_VALUE"""),"R1 / R3")</f>
        <v>R1 / R3</v>
      </c>
      <c r="E204" s="2" t="str">
        <f>IFERROR(__xludf.DUMMYFUNCTION("""COMPUTED_VALUE"""),"Assessment")</f>
        <v>Assessment</v>
      </c>
      <c r="F204" s="2" t="str">
        <f>IFERROR(__xludf.DUMMYFUNCTION("""COMPUTED_VALUE"""),"recommendation")</f>
        <v>recommendation</v>
      </c>
      <c r="G204" s="3" t="str">
        <f>IFERROR(__xludf.DUMMYFUNCTION("""COMPUTED_VALUE"""),"the exams are open book, right? I, I, when I'm in the classroom, they're not open book, but for, for the remote learning, they have to be open book. I just can't enforce it. ")</f>
        <v>the exams are open book, right? I, I, when I'm in the classroom, they're not open book, but for, for the remote learning, they have to be open book. I just can't enforce it. </v>
      </c>
      <c r="H204" s="3" t="str">
        <f>IFERROR(__xludf.DUMMYFUNCTION("""COMPUTED_VALUE"""),"Exams in remote class format are with the open book.")</f>
        <v>Exams in remote class format are with the open book.</v>
      </c>
      <c r="I204" s="2" t="s">
        <v>3551</v>
      </c>
    </row>
    <row r="205">
      <c r="A205" s="50" t="s">
        <v>3146</v>
      </c>
      <c r="B205" s="2">
        <f>IFERROR(__xludf.DUMMYFUNCTION("""COMPUTED_VALUE"""),8.0)</f>
        <v>8</v>
      </c>
      <c r="C205" s="2">
        <f>IFERROR(__xludf.DUMMYFUNCTION("""COMPUTED_VALUE"""),15.0)</f>
        <v>15</v>
      </c>
      <c r="D205" s="2" t="str">
        <f>IFERROR(__xludf.DUMMYFUNCTION("""COMPUTED_VALUE"""),"R1 / R3")</f>
        <v>R1 / R3</v>
      </c>
      <c r="E205" s="2" t="str">
        <f>IFERROR(__xludf.DUMMYFUNCTION("""COMPUTED_VALUE"""),"Assessment")</f>
        <v>Assessment</v>
      </c>
      <c r="F205" s="2" t="str">
        <f>IFERROR(__xludf.DUMMYFUNCTION("""COMPUTED_VALUE"""),"recommendation")</f>
        <v>recommendation</v>
      </c>
      <c r="G205" s="3" t="str">
        <f>IFERROR(__xludf.DUMMYFUNCTION("""COMPUTED_VALUE"""),"for the assessment, as I said, I give them a lot of leeway in the beginning. Um, they can make mistakes on their Kanban board and still get full credit if they know what the mistakes are that they made. However, in later sprints, if they make the same mis"&amp;"takes, then I start taking points off.  So I give them time to learn, uh, so that they feel that they can make a few mistakes, take a few risks, um, and not get penalized for it. 
")</f>
        <v>for the assessment, as I said, I give them a lot of leeway in the beginning. Um, they can make mistakes on their Kanban board and still get full credit if they know what the mistakes are that they made. However, in later sprints, if they make the same mistakes, then I start taking points off.  So I give them time to learn, uh, so that they feel that they can make a few mistakes, take a few risks, um, and not get penalized for it. 
</v>
      </c>
      <c r="H205" s="3" t="str">
        <f>IFERROR(__xludf.DUMMYFUNCTION("""COMPUTED_VALUE"""),"For the assessment, the students can make mistakes in the beginning without fear of being penalized.")</f>
        <v>For the assessment, the students can make mistakes in the beginning without fear of being penalized.</v>
      </c>
      <c r="I205" s="2" t="s">
        <v>3552</v>
      </c>
    </row>
    <row r="206">
      <c r="A206" s="50" t="s">
        <v>3148</v>
      </c>
      <c r="B206" s="2">
        <f>IFERROR(__xludf.DUMMYFUNCTION("""COMPUTED_VALUE"""),8.0)</f>
        <v>8</v>
      </c>
      <c r="C206" s="2">
        <f>IFERROR(__xludf.DUMMYFUNCTION("""COMPUTED_VALUE"""),15.0)</f>
        <v>15</v>
      </c>
      <c r="D206" s="2" t="str">
        <f>IFERROR(__xludf.DUMMYFUNCTION("""COMPUTED_VALUE"""),"R1 / R3")</f>
        <v>R1 / R3</v>
      </c>
      <c r="E206" s="2" t="str">
        <f>IFERROR(__xludf.DUMMYFUNCTION("""COMPUTED_VALUE"""),"Assessment")</f>
        <v>Assessment</v>
      </c>
      <c r="F206" s="2" t="str">
        <f>IFERROR(__xludf.DUMMYFUNCTION("""COMPUTED_VALUE"""),"recommendation")</f>
        <v>recommendation</v>
      </c>
      <c r="G206" s="3" t="str">
        <f>IFERROR(__xludf.DUMMYFUNCTION("""COMPUTED_VALUE""")," And the final exam, I keep, I keep the questions mostly conceptual, right. Because let's face it. If you understand the concepts, you can Google the details, right. But you don't know the concepts, you don't know what the Google, right. ... I do put some"&amp;" questions in that they would have only learned had they participated in the project.")</f>
        <v> And the final exam, I keep, I keep the questions mostly conceptual, right. Because let's face it. If you understand the concepts, you can Google the details, right. But you don't know the concepts, you don't know what the Google, right. ... I do put some questions in that they would have only learned had they participated in the project.</v>
      </c>
      <c r="H206" s="3" t="str">
        <f>IFERROR(__xludf.DUMMYFUNCTION("""COMPUTED_VALUE"""),"Keep the questions mostly conceptual in the final exam. And questions about participation in the project.")</f>
        <v>Keep the questions mostly conceptual in the final exam. And questions about participation in the project.</v>
      </c>
      <c r="I206" s="2" t="s">
        <v>1585</v>
      </c>
    </row>
    <row r="207">
      <c r="A207" s="50" t="s">
        <v>3149</v>
      </c>
      <c r="B207" s="2">
        <f>IFERROR(__xludf.DUMMYFUNCTION("""COMPUTED_VALUE"""),9.0)</f>
        <v>9</v>
      </c>
      <c r="C207" s="2">
        <f>IFERROR(__xludf.DUMMYFUNCTION("""COMPUTED_VALUE"""),3.0)</f>
        <v>3</v>
      </c>
      <c r="D207" s="2" t="str">
        <f>IFERROR(__xludf.DUMMYFUNCTION("""COMPUTED_VALUE"""),"R1 / R3")</f>
        <v>R1 / R3</v>
      </c>
      <c r="E207" s="2" t="str">
        <f>IFERROR(__xludf.DUMMYFUNCTION("""COMPUTED_VALUE"""),"General Challenges and Recommendations")</f>
        <v>General Challenges and Recommendations</v>
      </c>
      <c r="F207" s="2" t="str">
        <f>IFERROR(__xludf.DUMMYFUNCTION("""COMPUTED_VALUE"""),"recommendation")</f>
        <v>recommendation</v>
      </c>
      <c r="G207" s="3" t="str">
        <f>IFERROR(__xludf.DUMMYFUNCTION("""COMPUTED_VALUE"""),"we had cloud computing, where can easily stand up virtual machines for people and things like that.")</f>
        <v>we had cloud computing, where can easily stand up virtual machines for people and things like that.</v>
      </c>
      <c r="H207" s="3" t="str">
        <f>IFERROR(__xludf.DUMMYFUNCTION("""COMPUTED_VALUE"""),"Cloud computing make easier to stand up virtual machines.")</f>
        <v>Cloud computing make easier to stand up virtual machines.</v>
      </c>
      <c r="I207" s="2" t="s">
        <v>3553</v>
      </c>
    </row>
    <row r="208">
      <c r="A208" s="50" t="s">
        <v>3150</v>
      </c>
      <c r="B208" s="2">
        <f>IFERROR(__xludf.DUMMYFUNCTION("""COMPUTED_VALUE"""),9.0)</f>
        <v>9</v>
      </c>
      <c r="C208" s="2">
        <f>IFERROR(__xludf.DUMMYFUNCTION("""COMPUTED_VALUE"""),5.0)</f>
        <v>5</v>
      </c>
      <c r="D208" s="2" t="str">
        <f>IFERROR(__xludf.DUMMYFUNCTION("""COMPUTED_VALUE"""),"R1 / R3")</f>
        <v>R1 / R3</v>
      </c>
      <c r="E208" s="2" t="str">
        <f>IFERROR(__xludf.DUMMYFUNCTION("""COMPUTED_VALUE"""),"General Challenges and Recommendations")</f>
        <v>General Challenges and Recommendations</v>
      </c>
      <c r="F208" s="2" t="str">
        <f>IFERROR(__xludf.DUMMYFUNCTION("""COMPUTED_VALUE"""),"recommendation")</f>
        <v>recommendation</v>
      </c>
      <c r="G208" s="3" t="str">
        <f>IFERROR(__xludf.DUMMYFUNCTION("""COMPUTED_VALUE"""),"People coming through the programs want to play with technology. That's half the reason we got into this field in the first place, and it's a really fun thing to be able to do, but it's not sufficient. And trying to change that mindset to emphasize more t"&amp;"he idea of devops as a means of continuous improvement, as a means of organizational change. As a, to some extent I use this phrase guardedly, but to some extent, a philosophy around how the organization is going to go from concept to implementation, that"&amp;"'s a much harder set of skills to pick up.")</f>
        <v>People coming through the programs want to play with technology. That's half the reason we got into this field in the first place, and it's a really fun thing to be able to do, but it's not sufficient. And trying to change that mindset to emphasize more the idea of devops as a means of continuous improvement, as a means of organizational change. As a, to some extent I use this phrase guardedly, but to some extent, a philosophy around how the organization is going to go from concept to implementation, that's a much harder set of skills to pick up.</v>
      </c>
      <c r="H208" s="3" t="str">
        <f>IFERROR(__xludf.DUMMYFUNCTION("""COMPUTED_VALUE"""),"Make clear the importance of the DevOps mindset like continuous improvement in addition to using the tools.")</f>
        <v>Make clear the importance of the DevOps mindset like continuous improvement in addition to using the tools.</v>
      </c>
      <c r="I208" s="2" t="s">
        <v>568</v>
      </c>
    </row>
    <row r="209">
      <c r="A209" s="50" t="s">
        <v>3151</v>
      </c>
      <c r="B209" s="2">
        <f>IFERROR(__xludf.DUMMYFUNCTION("""COMPUTED_VALUE"""),9.0)</f>
        <v>9</v>
      </c>
      <c r="C209" s="2">
        <f>IFERROR(__xludf.DUMMYFUNCTION("""COMPUTED_VALUE"""),7.0)</f>
        <v>7</v>
      </c>
      <c r="D209" s="2" t="str">
        <f>IFERROR(__xludf.DUMMYFUNCTION("""COMPUTED_VALUE"""),"R2 / R3")</f>
        <v>R2 / R3</v>
      </c>
      <c r="E209" s="2" t="str">
        <f>IFERROR(__xludf.DUMMYFUNCTION("""COMPUTED_VALUE"""),"Environment Setup")</f>
        <v>Environment Setup</v>
      </c>
      <c r="F209" s="2" t="str">
        <f>IFERROR(__xludf.DUMMYFUNCTION("""COMPUTED_VALUE"""),"recommendation")</f>
        <v>recommendation</v>
      </c>
      <c r="G209" s="3" t="str">
        <f>IFERROR(__xludf.DUMMYFUNCTION("""COMPUTED_VALUE"""),"the recommendation is we just get them off their local machines and get them working off cloud servers or something like that. So that at least a, you can kind of script the stuff be if it gets messed up, there's no risk. You just tear it down and build a"&amp;" new one.")</f>
        <v>the recommendation is we just get them off their local machines and get them working off cloud servers or something like that. So that at least a, you can kind of script the stuff be if it gets messed up, there's no risk. You just tear it down and build a new one.</v>
      </c>
      <c r="H209" s="3" t="str">
        <f>IFERROR(__xludf.DUMMYFUNCTION("""COMPUTED_VALUE"""),"Get students off their local machines and get them working off cloud servers.")</f>
        <v>Get students off their local machines and get them working off cloud servers.</v>
      </c>
      <c r="I209" s="2" t="s">
        <v>3554</v>
      </c>
    </row>
    <row r="210">
      <c r="A210" s="50" t="s">
        <v>3153</v>
      </c>
      <c r="B210" s="2">
        <f>IFERROR(__xludf.DUMMYFUNCTION("""COMPUTED_VALUE"""),9.0)</f>
        <v>9</v>
      </c>
      <c r="C210" s="2">
        <f>IFERROR(__xludf.DUMMYFUNCTION("""COMPUTED_VALUE"""),8.0)</f>
        <v>8</v>
      </c>
      <c r="D210" s="2" t="str">
        <f>IFERROR(__xludf.DUMMYFUNCTION("""COMPUTED_VALUE"""),"R1 / R3")</f>
        <v>R1 / R3</v>
      </c>
      <c r="E210" s="2" t="str">
        <f>IFERROR(__xludf.DUMMYFUNCTION("""COMPUTED_VALUE"""),"Environment Setup")</f>
        <v>Environment Setup</v>
      </c>
      <c r="F210" s="2" t="str">
        <f>IFERROR(__xludf.DUMMYFUNCTION("""COMPUTED_VALUE"""),"recommendation")</f>
        <v>recommendation</v>
      </c>
      <c r="G210" s="3" t="str">
        <f>IFERROR(__xludf.DUMMYFUNCTION("""COMPUTED_VALUE"""),"I'm starting to do is to just build out images, for example, that contain everything that I want them to have. Uh, and that way I can tell them to spin up a virtual machine. ")</f>
        <v>I'm starting to do is to just build out images, for example, that contain everything that I want them to have. Uh, and that way I can tell them to spin up a virtual machine. </v>
      </c>
      <c r="H210" s="3" t="str">
        <f>IFERROR(__xludf.DUMMYFUNCTION("""COMPUTED_VALUE"""),"Use imagens that contain everything that the teacher wants to teach to clone virtual machines.")</f>
        <v>Use imagens that contain everything that the teacher wants to teach to clone virtual machines.</v>
      </c>
      <c r="I210" s="2" t="s">
        <v>2487</v>
      </c>
    </row>
    <row r="211">
      <c r="A211" s="50" t="s">
        <v>3155</v>
      </c>
      <c r="B211" s="2">
        <f>IFERROR(__xludf.DUMMYFUNCTION("""COMPUTED_VALUE"""),9.0)</f>
        <v>9</v>
      </c>
      <c r="C211" s="2">
        <f>IFERROR(__xludf.DUMMYFUNCTION("""COMPUTED_VALUE"""),9.0)</f>
        <v>9</v>
      </c>
      <c r="D211" s="2" t="str">
        <f>IFERROR(__xludf.DUMMYFUNCTION("""COMPUTED_VALUE"""),"R1 / R3")</f>
        <v>R1 / R3</v>
      </c>
      <c r="E211" s="2" t="str">
        <f>IFERROR(__xludf.DUMMYFUNCTION("""COMPUTED_VALUE"""),"Tool / Technology")</f>
        <v>Tool / Technology</v>
      </c>
      <c r="F211" s="2" t="str">
        <f>IFERROR(__xludf.DUMMYFUNCTION("""COMPUTED_VALUE"""),"recommendation")</f>
        <v>recommendation</v>
      </c>
      <c r="G211" s="3" t="str">
        <f>IFERROR(__xludf.DUMMYFUNCTION("""COMPUTED_VALUE"""),"I try to pick a few key ones.")</f>
        <v>I try to pick a few key ones.</v>
      </c>
      <c r="H211" s="3" t="str">
        <f>IFERROR(__xludf.DUMMYFUNCTION("""COMPUTED_VALUE"""),"Use few key tools.")</f>
        <v>Use few key tools.</v>
      </c>
      <c r="I211" s="2" t="s">
        <v>1610</v>
      </c>
    </row>
    <row r="212">
      <c r="A212" s="50" t="s">
        <v>3156</v>
      </c>
      <c r="B212" s="2">
        <f>IFERROR(__xludf.DUMMYFUNCTION("""COMPUTED_VALUE"""),9.0)</f>
        <v>9</v>
      </c>
      <c r="C212" s="2">
        <f>IFERROR(__xludf.DUMMYFUNCTION("""COMPUTED_VALUE"""),9.0)</f>
        <v>9</v>
      </c>
      <c r="D212" s="2" t="str">
        <f>IFERROR(__xludf.DUMMYFUNCTION("""COMPUTED_VALUE"""),"R1 / R3")</f>
        <v>R1 / R3</v>
      </c>
      <c r="E212" s="2" t="str">
        <f>IFERROR(__xludf.DUMMYFUNCTION("""COMPUTED_VALUE"""),"Tool / Technology")</f>
        <v>Tool / Technology</v>
      </c>
      <c r="F212" s="2" t="str">
        <f>IFERROR(__xludf.DUMMYFUNCTION("""COMPUTED_VALUE"""),"recommendation")</f>
        <v>recommendation</v>
      </c>
      <c r="G212" s="3" t="str">
        <f>IFERROR(__xludf.DUMMYFUNCTION("""COMPUTED_VALUE"""),"I use GitHub and they have options for professors, you know, for academic use, where you can set up these GitHub classrooms. I use those constantly, um, and they work very, very well because again, I can kind of control who gets what I can see, everything"&amp;" I can help individuals through things works great.")</f>
        <v>I use GitHub and they have options for professors, you know, for academic use, where you can set up these GitHub classrooms. I use those constantly, um, and they work very, very well because again, I can kind of control who gets what I can see, everything I can help individuals through things works great.</v>
      </c>
      <c r="H212" s="3" t="str">
        <f>IFERROR(__xludf.DUMMYFUNCTION("""COMPUTED_VALUE"""),"Use Github for academic use where you can set up GitHub classrooms.")</f>
        <v>Use Github for academic use where you can set up GitHub classrooms.</v>
      </c>
      <c r="I212" s="2" t="s">
        <v>1612</v>
      </c>
    </row>
    <row r="213">
      <c r="A213" s="50" t="s">
        <v>3555</v>
      </c>
      <c r="B213" s="2">
        <f>IFERROR(__xludf.DUMMYFUNCTION("""COMPUTED_VALUE"""),9.0)</f>
        <v>9</v>
      </c>
      <c r="C213" s="2">
        <f>IFERROR(__xludf.DUMMYFUNCTION("""COMPUTED_VALUE"""),9.0)</f>
        <v>9</v>
      </c>
      <c r="D213" s="2" t="str">
        <f>IFERROR(__xludf.DUMMYFUNCTION("""COMPUTED_VALUE"""),"R1 / R3")</f>
        <v>R1 / R3</v>
      </c>
      <c r="E213" s="2" t="str">
        <f>IFERROR(__xludf.DUMMYFUNCTION("""COMPUTED_VALUE"""),"Tool / Technology")</f>
        <v>Tool / Technology</v>
      </c>
      <c r="F213" s="2" t="str">
        <f>IFERROR(__xludf.DUMMYFUNCTION("""COMPUTED_VALUE"""),"recommendation")</f>
        <v>recommendation</v>
      </c>
      <c r="G213" s="3" t="str">
        <f>IFERROR(__xludf.DUMMYFUNCTION("""COMPUTED_VALUE"""),"I will pick one, usually one, although I'll usually compare and contrast against a couple of others, something in the around of automated builds.")</f>
        <v>I will pick one, usually one, although I'll usually compare and contrast against a couple of others, something in the around of automated builds.</v>
      </c>
      <c r="H213" s="3" t="str">
        <f>IFERROR(__xludf.DUMMYFUNCTION("""COMPUTED_VALUE"""),"Compare and contrast the tools before to choice.")</f>
        <v>Compare and contrast the tools before to choice.</v>
      </c>
      <c r="I213" s="2" t="s">
        <v>578</v>
      </c>
    </row>
    <row r="214">
      <c r="A214" s="50" t="s">
        <v>3556</v>
      </c>
      <c r="B214" s="2">
        <f>IFERROR(__xludf.DUMMYFUNCTION("""COMPUTED_VALUE"""),9.0)</f>
        <v>9</v>
      </c>
      <c r="C214" s="2">
        <f>IFERROR(__xludf.DUMMYFUNCTION("""COMPUTED_VALUE"""),10.0)</f>
        <v>10</v>
      </c>
      <c r="D214" s="2" t="str">
        <f>IFERROR(__xludf.DUMMYFUNCTION("""COMPUTED_VALUE"""),"R1 / R3")</f>
        <v>R1 / R3</v>
      </c>
      <c r="E214" s="2" t="str">
        <f>IFERROR(__xludf.DUMMYFUNCTION("""COMPUTED_VALUE"""),"Tool / Technology")</f>
        <v>Tool / Technology</v>
      </c>
      <c r="F214" s="2" t="str">
        <f>IFERROR(__xludf.DUMMYFUNCTION("""COMPUTED_VALUE"""),"recommendation")</f>
        <v>recommendation</v>
      </c>
      <c r="G214" s="3" t="str">
        <f>IFERROR(__xludf.DUMMYFUNCTION("""COMPUTED_VALUE"""),"I try to use cloud providers, you know, kind of cloud SAS providers for that sort of thing, because I don't want people to spend a lot of time getting the stuff stood up.")</f>
        <v>I try to use cloud providers, you know, kind of cloud SAS providers for that sort of thing, because I don't want people to spend a lot of time getting the stuff stood up.</v>
      </c>
      <c r="H214" s="3" t="str">
        <f>IFERROR(__xludf.DUMMYFUNCTION("""COMPUTED_VALUE"""),"Use cloud SAS providers to avoid spending a lot of time installations and configurations.")</f>
        <v>Use cloud SAS providers to avoid spending a lot of time installations and configurations.</v>
      </c>
      <c r="I214" s="2" t="s">
        <v>580</v>
      </c>
    </row>
    <row r="215">
      <c r="A215" s="50" t="s">
        <v>3557</v>
      </c>
      <c r="B215" s="2">
        <f>IFERROR(__xludf.DUMMYFUNCTION("""COMPUTED_VALUE"""),9.0)</f>
        <v>9</v>
      </c>
      <c r="C215" s="2">
        <f>IFERROR(__xludf.DUMMYFUNCTION("""COMPUTED_VALUE"""),10.0)</f>
        <v>10</v>
      </c>
      <c r="D215" s="2" t="str">
        <f>IFERROR(__xludf.DUMMYFUNCTION("""COMPUTED_VALUE"""),"R1 / R3")</f>
        <v>R1 / R3</v>
      </c>
      <c r="E215" s="2" t="str">
        <f>IFERROR(__xludf.DUMMYFUNCTION("""COMPUTED_VALUE"""),"Tool / Technology")</f>
        <v>Tool / Technology</v>
      </c>
      <c r="F215" s="2" t="str">
        <f>IFERROR(__xludf.DUMMYFUNCTION("""COMPUTED_VALUE"""),"recommendation")</f>
        <v>recommendation</v>
      </c>
      <c r="G215" s="3" t="str">
        <f>IFERROR(__xludf.DUMMYFUNCTION("""COMPUTED_VALUE""")," I used to have people stand up during Jenkins instances to do the work, but that just at the end of the day, that's a distraction. My goal is not to teach them how to administer Jenkins.")</f>
        <v> I used to have people stand up during Jenkins instances to do the work, but that just at the end of the day, that's a distraction. My goal is not to teach them how to administer Jenkins.</v>
      </c>
      <c r="H215" s="3" t="str">
        <f>IFERROR(__xludf.DUMMYFUNCTION("""COMPUTED_VALUE"""),"Do not focus on unnecessary features of tools like avoid administering Jenkins if you want to practice continuous integration.")</f>
        <v>Do not focus on unnecessary features of tools like avoid administering Jenkins if you want to practice continuous integration.</v>
      </c>
      <c r="I215" s="2" t="s">
        <v>582</v>
      </c>
    </row>
    <row r="216">
      <c r="A216" s="50" t="s">
        <v>3558</v>
      </c>
      <c r="B216" s="2">
        <f>IFERROR(__xludf.DUMMYFUNCTION("""COMPUTED_VALUE"""),9.0)</f>
        <v>9</v>
      </c>
      <c r="C216" s="2">
        <f>IFERROR(__xludf.DUMMYFUNCTION("""COMPUTED_VALUE"""),10.0)</f>
        <v>10</v>
      </c>
      <c r="D216" s="2" t="str">
        <f>IFERROR(__xludf.DUMMYFUNCTION("""COMPUTED_VALUE"""),"R1 / R3")</f>
        <v>R1 / R3</v>
      </c>
      <c r="E216" s="2" t="str">
        <f>IFERROR(__xludf.DUMMYFUNCTION("""COMPUTED_VALUE"""),"Tool / Technology")</f>
        <v>Tool / Technology</v>
      </c>
      <c r="F216" s="2" t="str">
        <f>IFERROR(__xludf.DUMMYFUNCTION("""COMPUTED_VALUE"""),"recommendation")</f>
        <v>recommendation</v>
      </c>
      <c r="G216" s="3" t="str">
        <f>IFERROR(__xludf.DUMMYFUNCTION("""COMPUTED_VALUE"""),"I tend to focus on gradle, but I also will link that to say a comparison against Maven and ant to provide some context for how we got here, why we got here")</f>
        <v>I tend to focus on gradle, but I also will link that to say a comparison against Maven and ant to provide some context for how we got here, why we got here</v>
      </c>
      <c r="H216" s="3" t="str">
        <f>IFERROR(__xludf.DUMMYFUNCTION("""COMPUTED_VALUE"""),"Show the evolution of the tools like exposing from ant and maven to gradle tool in build managment.")</f>
        <v>Show the evolution of the tools like exposing from ant and maven to gradle tool in build managment.</v>
      </c>
      <c r="I216" s="2" t="s">
        <v>584</v>
      </c>
    </row>
    <row r="217">
      <c r="A217" s="50" t="s">
        <v>3559</v>
      </c>
      <c r="B217" s="2">
        <f>IFERROR(__xludf.DUMMYFUNCTION("""COMPUTED_VALUE"""),9.0)</f>
        <v>9</v>
      </c>
      <c r="C217" s="2">
        <f>IFERROR(__xludf.DUMMYFUNCTION("""COMPUTED_VALUE"""),11.0)</f>
        <v>11</v>
      </c>
      <c r="D217" s="2" t="str">
        <f>IFERROR(__xludf.DUMMYFUNCTION("""COMPUTED_VALUE"""),"R1 / R2")</f>
        <v>R1 / R2</v>
      </c>
      <c r="E217" s="2" t="str">
        <f>IFERROR(__xludf.DUMMYFUNCTION("""COMPUTED_VALUE"""),"Tool / Technology")</f>
        <v>Tool / Technology</v>
      </c>
      <c r="F217" s="2" t="str">
        <f>IFERROR(__xludf.DUMMYFUNCTION("""COMPUTED_VALUE"""),"recommendation")</f>
        <v>recommendation</v>
      </c>
      <c r="G217" s="3" t="str">
        <f>IFERROR(__xludf.DUMMYFUNCTION("""COMPUTED_VALUE"""),"I simply want them to be able to set up some kind of a pipeline and understand how it works.")</f>
        <v>I simply want them to be able to set up some kind of a pipeline and understand how it works.</v>
      </c>
      <c r="H217" s="3" t="str">
        <f>IFERROR(__xludf.DUMMYFUNCTION("""COMPUTED_VALUE"""),"Teach how to set up a pipeline and explain how it works.")</f>
        <v>Teach how to set up a pipeline and explain how it works.</v>
      </c>
      <c r="I217" s="2" t="s">
        <v>586</v>
      </c>
    </row>
    <row r="218">
      <c r="A218" s="50" t="s">
        <v>3560</v>
      </c>
      <c r="B218" s="2">
        <f>IFERROR(__xludf.DUMMYFUNCTION("""COMPUTED_VALUE"""),9.0)</f>
        <v>9</v>
      </c>
      <c r="C218" s="2">
        <f>IFERROR(__xludf.DUMMYFUNCTION("""COMPUTED_VALUE"""),11.0)</f>
        <v>11</v>
      </c>
      <c r="D218" s="2" t="str">
        <f>IFERROR(__xludf.DUMMYFUNCTION("""COMPUTED_VALUE"""),"R1 / R2")</f>
        <v>R1 / R2</v>
      </c>
      <c r="E218" s="2" t="str">
        <f>IFERROR(__xludf.DUMMYFUNCTION("""COMPUTED_VALUE"""),"Tool / Technology")</f>
        <v>Tool / Technology</v>
      </c>
      <c r="F218" s="2" t="str">
        <f>IFERROR(__xludf.DUMMYFUNCTION("""COMPUTED_VALUE"""),"recommendation")</f>
        <v>recommendation</v>
      </c>
      <c r="G218" s="3" t="str">
        <f>IFERROR(__xludf.DUMMYFUNCTION("""COMPUTED_VALUE"""),"I'm having conversations with the university about trying to take the devops course and essentially converting it to a three course sequence one for agile, one for kind of the dev part of devops and one for the ops part of devops")</f>
        <v>I'm having conversations with the university about trying to take the devops course and essentially converting it to a three course sequence one for agile, one for kind of the dev part of devops and one for the ops part of devops</v>
      </c>
      <c r="H218" s="3" t="str">
        <f>IFERROR(__xludf.DUMMYFUNCTION("""COMPUTED_VALUE"""),"Separate the dev and ops part into different courses.")</f>
        <v>Separate the dev and ops part into different courses.</v>
      </c>
      <c r="I218" s="2" t="s">
        <v>3561</v>
      </c>
    </row>
    <row r="219">
      <c r="A219" s="50" t="s">
        <v>3562</v>
      </c>
      <c r="B219" s="2">
        <f>IFERROR(__xludf.DUMMYFUNCTION("""COMPUTED_VALUE"""),9.0)</f>
        <v>9</v>
      </c>
      <c r="C219" s="2">
        <f>IFERROR(__xludf.DUMMYFUNCTION("""COMPUTED_VALUE"""),11.0)</f>
        <v>11</v>
      </c>
      <c r="D219" s="2" t="str">
        <f>IFERROR(__xludf.DUMMYFUNCTION("""COMPUTED_VALUE"""),"R1 / R2")</f>
        <v>R1 / R2</v>
      </c>
      <c r="E219" s="2" t="str">
        <f>IFERROR(__xludf.DUMMYFUNCTION("""COMPUTED_VALUE"""),"Tool / Technology")</f>
        <v>Tool / Technology</v>
      </c>
      <c r="F219" s="2" t="str">
        <f>IFERROR(__xludf.DUMMYFUNCTION("""COMPUTED_VALUE"""),"recommendation")</f>
        <v>recommendation</v>
      </c>
      <c r="G219" s="3" t="str">
        <f>IFERROR(__xludf.DUMMYFUNCTION("""COMPUTED_VALUE"""),"I will touch on, uh, database migrations. And so I may break out a tool like flyway to demonstrate how even databases are not necessarily exempt from being able to apply devops principles, including, you know, database infrastructure is covered and, and t"&amp;"hat sort of thing. So I cannot possibly get through everything.")</f>
        <v>I will touch on, uh, database migrations. And so I may break out a tool like flyway to demonstrate how even databases are not necessarily exempt from being able to apply devops principles, including, you know, database infrastructure is covered and, and that sort of thing. So I cannot possibly get through everything.</v>
      </c>
      <c r="H219" s="3" t="str">
        <f>IFERROR(__xludf.DUMMYFUNCTION("""COMPUTED_VALUE"""),"You cannot possibly get through everything in details.")</f>
        <v>You cannot possibly get through everything in details.</v>
      </c>
      <c r="I219" s="2" t="s">
        <v>2499</v>
      </c>
    </row>
    <row r="220">
      <c r="A220" s="50" t="s">
        <v>3563</v>
      </c>
      <c r="B220" s="2">
        <f>IFERROR(__xludf.DUMMYFUNCTION("""COMPUTED_VALUE"""),9.0)</f>
        <v>9</v>
      </c>
      <c r="C220" s="2">
        <f>IFERROR(__xludf.DUMMYFUNCTION("""COMPUTED_VALUE"""),12.0)</f>
        <v>12</v>
      </c>
      <c r="D220" s="2" t="str">
        <f>IFERROR(__xludf.DUMMYFUNCTION("""COMPUTED_VALUE"""),"R2 / R3")</f>
        <v>R2 / R3</v>
      </c>
      <c r="E220" s="2" t="str">
        <f>IFERROR(__xludf.DUMMYFUNCTION("""COMPUTED_VALUE"""),"Tool / Technology")</f>
        <v>Tool / Technology</v>
      </c>
      <c r="F220" s="2" t="str">
        <f>IFERROR(__xludf.DUMMYFUNCTION("""COMPUTED_VALUE"""),"recommendation")</f>
        <v>recommendation</v>
      </c>
      <c r="G220" s="3" t="str">
        <f>IFERROR(__xludf.DUMMYFUNCTION("""COMPUTED_VALUE"""),"Setting up good logging monitoring notifications, some of these other open source tools that provide that kind of those kinds of capabilities. ... So I try to pick a representative sample open source, always cause I don't want people to be buying things.")</f>
        <v>Setting up good logging monitoring notifications, some of these other open source tools that provide that kind of those kinds of capabilities. ... So I try to pick a representative sample open source, always cause I don't want people to be buying things.</v>
      </c>
      <c r="H220" s="3" t="str">
        <f>IFERROR(__xludf.DUMMYFUNCTION("""COMPUTED_VALUE"""),"Use representative open source industrial tools.")</f>
        <v>Use representative open source industrial tools.</v>
      </c>
      <c r="I220" s="2" t="s">
        <v>1618</v>
      </c>
    </row>
    <row r="221">
      <c r="A221" s="50" t="s">
        <v>3564</v>
      </c>
      <c r="B221" s="2">
        <f>IFERROR(__xludf.DUMMYFUNCTION("""COMPUTED_VALUE"""),9.0)</f>
        <v>9</v>
      </c>
      <c r="C221" s="2">
        <f>IFERROR(__xludf.DUMMYFUNCTION("""COMPUTED_VALUE"""),14.0)</f>
        <v>14</v>
      </c>
      <c r="D221" s="2" t="str">
        <f>IFERROR(__xludf.DUMMYFUNCTION("""COMPUTED_VALUE"""),"R1 / R3")</f>
        <v>R1 / R3</v>
      </c>
      <c r="E221" s="2" t="str">
        <f>IFERROR(__xludf.DUMMYFUNCTION("""COMPUTED_VALUE"""),"DevOps Concepts")</f>
        <v>DevOps Concepts</v>
      </c>
      <c r="F221" s="2" t="str">
        <f>IFERROR(__xludf.DUMMYFUNCTION("""COMPUTED_VALUE"""),"recommendation")</f>
        <v>recommendation</v>
      </c>
      <c r="G221" s="3" t="str">
        <f>IFERROR(__xludf.DUMMYFUNCTION("""COMPUTED_VALUE"""),"And that level of what you're trying to do is to build a business case for why you want that at all. And now you're starting to get a little bit around of the computer science and into around of business and being able to tie those two things together in "&amp;"such a way that you can sell it to an organization that would have to spend resources, people, time, energy, money, building out that kind of a technical pipeline, right? 
 ... you have to somehow sell them on why you should spend your sources doing that "&amp;"versus building a new feature or adding a new product or any one of a number of other competing priorities that the business has.")</f>
        <v>And that level of what you're trying to do is to build a business case for why you want that at all. And now you're starting to get a little bit around of the computer science and into around of business and being able to tie those two things together in such a way that you can sell it to an organization that would have to spend resources, people, time, energy, money, building out that kind of a technical pipeline, right? 
 ... you have to somehow sell them on why you should spend your sources doing that versus building a new feature or adding a new product or any one of a number of other competing priorities that the business has.</v>
      </c>
      <c r="H221" s="3" t="str">
        <f>IFERROR(__xludf.DUMMYFUNCTION("""COMPUTED_VALUE"""),"Teach students to know how to sell DevOps benefits to their directors who are from the business area. For example, pipeline reduce developers work time and save money. You can also build a new feature or add a new product that the business has.")</f>
        <v>Teach students to know how to sell DevOps benefits to their directors who are from the business area. For example, pipeline reduce developers work time and save money. You can also build a new feature or add a new product that the business has.</v>
      </c>
      <c r="I221" s="2" t="s">
        <v>2505</v>
      </c>
    </row>
    <row r="222">
      <c r="A222" s="50" t="s">
        <v>3565</v>
      </c>
      <c r="B222" s="2">
        <f>IFERROR(__xludf.DUMMYFUNCTION("""COMPUTED_VALUE"""),9.0)</f>
        <v>9</v>
      </c>
      <c r="C222" s="2">
        <f>IFERROR(__xludf.DUMMYFUNCTION("""COMPUTED_VALUE"""),15.0)</f>
        <v>15</v>
      </c>
      <c r="D222" s="2" t="str">
        <f>IFERROR(__xludf.DUMMYFUNCTION("""COMPUTED_VALUE"""),"R1 / R3")</f>
        <v>R1 / R3</v>
      </c>
      <c r="E222" s="2" t="str">
        <f>IFERROR(__xludf.DUMMYFUNCTION("""COMPUTED_VALUE"""),"Class Preparation")</f>
        <v>Class Preparation</v>
      </c>
      <c r="F222" s="2" t="str">
        <f>IFERROR(__xludf.DUMMYFUNCTION("""COMPUTED_VALUE"""),"recommendation")</f>
        <v>recommendation</v>
      </c>
      <c r="G222" s="3" t="str">
        <f>IFERROR(__xludf.DUMMYFUNCTION("""COMPUTED_VALUE"""),"I don't think the basic skeleton of the class has really changed significantly, maybe a few places, but over the last two or three years, the, the basic structure, the scaffolding I think has held fairly true where we focus on some devops principles. We f"&amp;"ocus on concepts. We focus on goals.")</f>
        <v>I don't think the basic skeleton of the class has really changed significantly, maybe a few places, but over the last two or three years, the, the basic structure, the scaffolding I think has held fairly true where we focus on some devops principles. We focus on concepts. We focus on goals.</v>
      </c>
      <c r="H222" s="3" t="str">
        <f>IFERROR(__xludf.DUMMYFUNCTION("""COMPUTED_VALUE"""),"The basic skeleton of the class does not change significantly because we focus on concepts and we focus on goals.")</f>
        <v>The basic skeleton of the class does not change significantly because we focus on concepts and we focus on goals.</v>
      </c>
      <c r="I222" s="2" t="s">
        <v>1626</v>
      </c>
    </row>
    <row r="223">
      <c r="A223" s="50" t="s">
        <v>3566</v>
      </c>
      <c r="B223" s="2">
        <f>IFERROR(__xludf.DUMMYFUNCTION("""COMPUTED_VALUE"""),9.0)</f>
        <v>9</v>
      </c>
      <c r="C223" s="2">
        <f>IFERROR(__xludf.DUMMYFUNCTION("""COMPUTED_VALUE"""),16.0)</f>
        <v>16</v>
      </c>
      <c r="D223" s="2" t="str">
        <f>IFERROR(__xludf.DUMMYFUNCTION("""COMPUTED_VALUE"""),"R1 / R2")</f>
        <v>R1 / R2</v>
      </c>
      <c r="E223" s="2" t="str">
        <f>IFERROR(__xludf.DUMMYFUNCTION("""COMPUTED_VALUE"""),"Class Preparation")</f>
        <v>Class Preparation</v>
      </c>
      <c r="F223" s="2" t="str">
        <f>IFERROR(__xludf.DUMMYFUNCTION("""COMPUTED_VALUE"""),"recommendation")</f>
        <v>recommendation</v>
      </c>
      <c r="G223" s="3" t="str">
        <f>IFERROR(__xludf.DUMMYFUNCTION("""COMPUTED_VALUE"""),"I'm trying to tie the application of the devops principles and techniques and technologies, and to, and to link that together with agile approaches, for example. ")</f>
        <v>I'm trying to tie the application of the devops principles and techniques and technologies, and to, and to link that together with agile approaches, for example. </v>
      </c>
      <c r="H223" s="3" t="str">
        <f>IFERROR(__xludf.DUMMYFUNCTION("""COMPUTED_VALUE"""),"Tie application of DevOps principles, techniques and technologies")</f>
        <v>Tie application of DevOps principles, techniques and technologies</v>
      </c>
      <c r="I223" s="2" t="s">
        <v>3567</v>
      </c>
    </row>
    <row r="224">
      <c r="A224" s="50" t="s">
        <v>3568</v>
      </c>
      <c r="B224" s="2">
        <f>IFERROR(__xludf.DUMMYFUNCTION("""COMPUTED_VALUE"""),9.0)</f>
        <v>9</v>
      </c>
      <c r="C224" s="2">
        <f>IFERROR(__xludf.DUMMYFUNCTION("""COMPUTED_VALUE"""),16.0)</f>
        <v>16</v>
      </c>
      <c r="D224" s="2" t="str">
        <f>IFERROR(__xludf.DUMMYFUNCTION("""COMPUTED_VALUE"""),"R1 / R2")</f>
        <v>R1 / R2</v>
      </c>
      <c r="E224" s="2" t="str">
        <f>IFERROR(__xludf.DUMMYFUNCTION("""COMPUTED_VALUE"""),"Class Preparation")</f>
        <v>Class Preparation</v>
      </c>
      <c r="F224" s="2" t="str">
        <f>IFERROR(__xludf.DUMMYFUNCTION("""COMPUTED_VALUE"""),"recommendation")</f>
        <v>recommendation</v>
      </c>
      <c r="G224" s="3" t="str">
        <f>IFERROR(__xludf.DUMMYFUNCTION("""COMPUTED_VALUE"""),"So we do things in sort of an iterative and incremental model where every week or every sprint, if you will build on the previous one.")</f>
        <v>So we do things in sort of an iterative and incremental model where every week or every sprint, if you will build on the previous one.</v>
      </c>
      <c r="H224" s="3" t="str">
        <f>IFERROR(__xludf.DUMMYFUNCTION("""COMPUTED_VALUE"""),"Use an incremental models with sprints")</f>
        <v>Use an incremental models with sprints</v>
      </c>
      <c r="I224" s="2" t="s">
        <v>606</v>
      </c>
    </row>
    <row r="225">
      <c r="A225" s="50" t="s">
        <v>3569</v>
      </c>
      <c r="B225" s="2">
        <f>IFERROR(__xludf.DUMMYFUNCTION("""COMPUTED_VALUE"""),9.0)</f>
        <v>9</v>
      </c>
      <c r="C225" s="2">
        <f>IFERROR(__xludf.DUMMYFUNCTION("""COMPUTED_VALUE"""),16.0)</f>
        <v>16</v>
      </c>
      <c r="D225" s="2" t="str">
        <f>IFERROR(__xludf.DUMMYFUNCTION("""COMPUTED_VALUE"""),"R1 / R2")</f>
        <v>R1 / R2</v>
      </c>
      <c r="E225" s="2" t="str">
        <f>IFERROR(__xludf.DUMMYFUNCTION("""COMPUTED_VALUE"""),"Class Preparation")</f>
        <v>Class Preparation</v>
      </c>
      <c r="F225" s="2" t="str">
        <f>IFERROR(__xludf.DUMMYFUNCTION("""COMPUTED_VALUE"""),"recommendation")</f>
        <v>recommendation</v>
      </c>
      <c r="G225" s="3" t="str">
        <f>IFERROR(__xludf.DUMMYFUNCTION("""COMPUTED_VALUE"""),"So I try to give folks one or two small projects.")</f>
        <v>So I try to give folks one or two small projects.</v>
      </c>
      <c r="H225" s="3" t="str">
        <f>IFERROR(__xludf.DUMMYFUNCTION("""COMPUTED_VALUE"""),"Specify what projects the students will work and provide one or two small projects.")</f>
        <v>Specify what projects the students will work and provide one or two small projects.</v>
      </c>
      <c r="I225" s="2" t="s">
        <v>607</v>
      </c>
    </row>
    <row r="226">
      <c r="A226" s="50" t="s">
        <v>3570</v>
      </c>
      <c r="B226" s="2">
        <f>IFERROR(__xludf.DUMMYFUNCTION("""COMPUTED_VALUE"""),9.0)</f>
        <v>9</v>
      </c>
      <c r="C226" s="2">
        <f>IFERROR(__xludf.DUMMYFUNCTION("""COMPUTED_VALUE"""),17.0)</f>
        <v>17</v>
      </c>
      <c r="D226" s="2" t="str">
        <f>IFERROR(__xludf.DUMMYFUNCTION("""COMPUTED_VALUE"""),"R2 / R3")</f>
        <v>R2 / R3</v>
      </c>
      <c r="E226" s="2" t="str">
        <f>IFERROR(__xludf.DUMMYFUNCTION("""COMPUTED_VALUE"""),"Class Preparation")</f>
        <v>Class Preparation</v>
      </c>
      <c r="F226" s="2" t="str">
        <f>IFERROR(__xludf.DUMMYFUNCTION("""COMPUTED_VALUE"""),"recommendation")</f>
        <v>recommendation</v>
      </c>
      <c r="G226" s="3" t="str">
        <f>IFERROR(__xludf.DUMMYFUNCTION("""COMPUTED_VALUE"""),"I'm usually maybe a couple of weeks out verifying something for an upcoming, an upcoming session. ")</f>
        <v>I'm usually maybe a couple of weeks out verifying something for an upcoming, an upcoming session. </v>
      </c>
      <c r="H226" s="3" t="str">
        <f>IFERROR(__xludf.DUMMYFUNCTION("""COMPUTED_VALUE"""),"Verify if labs exercises are working before classes.")</f>
        <v>Verify if labs exercises are working before classes.</v>
      </c>
      <c r="I226" s="2" t="s">
        <v>3571</v>
      </c>
    </row>
    <row r="227">
      <c r="A227" s="50" t="s">
        <v>3572</v>
      </c>
      <c r="B227" s="2">
        <f>IFERROR(__xludf.DUMMYFUNCTION("""COMPUTED_VALUE"""),9.0)</f>
        <v>9</v>
      </c>
      <c r="C227" s="2">
        <f>IFERROR(__xludf.DUMMYFUNCTION("""COMPUTED_VALUE"""),19.0)</f>
        <v>19</v>
      </c>
      <c r="D227" s="2" t="str">
        <f>IFERROR(__xludf.DUMMYFUNCTION("""COMPUTED_VALUE"""),"R1 / R3")</f>
        <v>R1 / R3</v>
      </c>
      <c r="E227" s="2" t="str">
        <f>IFERROR(__xludf.DUMMYFUNCTION("""COMPUTED_VALUE"""),"Pedagogy")</f>
        <v>Pedagogy</v>
      </c>
      <c r="F227" s="2" t="str">
        <f>IFERROR(__xludf.DUMMYFUNCTION("""COMPUTED_VALUE"""),"recommendation")</f>
        <v>recommendation</v>
      </c>
      <c r="G227" s="3" t="str">
        <f>IFERROR(__xludf.DUMMYFUNCTION("""COMPUTED_VALUE""")," If there's problems, I'll tell you where there's problems and you can go fix it, go get it, right. Go, go make it, do what it's supposed to do. You know, because in industry we're, we don't just get a one and done shot. We keep at it until it works. And "&amp;"so I bring that to the table and I think that provides a little less pressure on students. ")</f>
        <v> If there's problems, I'll tell you where there's problems and you can go fix it, go get it, right. Go, go make it, do what it's supposed to do. You know, because in industry we're, we don't just get a one and done shot. We keep at it until it works. And so I bring that to the table and I think that provides a little less pressure on students. </v>
      </c>
      <c r="H227" s="3" t="str">
        <f>IFERROR(__xludf.DUMMYFUNCTION("""COMPUTED_VALUE"""),"Students can fix their code problems. In industry, we keep coding until it works. It also provides a little less pressure on students.")</f>
        <v>Students can fix their code problems. In industry, we keep coding until it works. It also provides a little less pressure on students.</v>
      </c>
      <c r="I227" s="2" t="s">
        <v>1636</v>
      </c>
    </row>
    <row r="228">
      <c r="A228" s="50" t="s">
        <v>3573</v>
      </c>
      <c r="B228" s="2">
        <f>IFERROR(__xludf.DUMMYFUNCTION("""COMPUTED_VALUE"""),9.0)</f>
        <v>9</v>
      </c>
      <c r="C228" s="2">
        <f>IFERROR(__xludf.DUMMYFUNCTION("""COMPUTED_VALUE"""),19.0)</f>
        <v>19</v>
      </c>
      <c r="D228" s="2" t="str">
        <f>IFERROR(__xludf.DUMMYFUNCTION("""COMPUTED_VALUE"""),"R1 / R3")</f>
        <v>R1 / R3</v>
      </c>
      <c r="E228" s="2" t="str">
        <f>IFERROR(__xludf.DUMMYFUNCTION("""COMPUTED_VALUE"""),"Pedagogy")</f>
        <v>Pedagogy</v>
      </c>
      <c r="F228" s="2" t="str">
        <f>IFERROR(__xludf.DUMMYFUNCTION("""COMPUTED_VALUE"""),"recommendation")</f>
        <v>recommendation</v>
      </c>
      <c r="G228" s="3" t="str">
        <f>IFERROR(__xludf.DUMMYFUNCTION("""COMPUTED_VALUE"""),"I will try to provide, uh, some kind of, of jump-starting as far as people learning at technology. So for example, here's commonly used commands. Here's why you use them. Here's how you use them.")</f>
        <v>I will try to provide, uh, some kind of, of jump-starting as far as people learning at technology. So for example, here's commonly used commands. Here's why you use them. Here's how you use them.</v>
      </c>
      <c r="H228" s="3" t="str">
        <f>IFERROR(__xludf.DUMMYFUNCTION("""COMPUTED_VALUE"""),"Provide jump-starting examples of commonly used commands of tools.")</f>
        <v>Provide jump-starting examples of commonly used commands of tools.</v>
      </c>
      <c r="I228" s="2" t="s">
        <v>611</v>
      </c>
    </row>
    <row r="229">
      <c r="A229" s="50" t="s">
        <v>3574</v>
      </c>
      <c r="B229" s="2">
        <f>IFERROR(__xludf.DUMMYFUNCTION("""COMPUTED_VALUE"""),9.0)</f>
        <v>9</v>
      </c>
      <c r="C229" s="2">
        <f>IFERROR(__xludf.DUMMYFUNCTION("""COMPUTED_VALUE"""),20.0)</f>
        <v>20</v>
      </c>
      <c r="D229" s="2" t="str">
        <f>IFERROR(__xludf.DUMMYFUNCTION("""COMPUTED_VALUE"""),"R1 / R3")</f>
        <v>R1 / R3</v>
      </c>
      <c r="E229" s="2" t="str">
        <f>IFERROR(__xludf.DUMMYFUNCTION("""COMPUTED_VALUE"""),"Pedagogy")</f>
        <v>Pedagogy</v>
      </c>
      <c r="F229" s="2" t="str">
        <f>IFERROR(__xludf.DUMMYFUNCTION("""COMPUTED_VALUE"""),"recommendation")</f>
        <v>recommendation</v>
      </c>
      <c r="G229" s="3" t="str">
        <f>IFERROR(__xludf.DUMMYFUNCTION("""COMPUTED_VALUE"""),"Some of this even goes down to git right, because a lot of people coming in know something about git a lot don't um, in many ways, my opinion, which I realize is, is probably not widely shared is that even if we were restricted from a software engineering"&amp;" department perspective, almost everything we're teaching should be retooled along devops lines, uh,")</f>
        <v>Some of this even goes down to git right, because a lot of people coming in know something about git a lot don't um, in many ways, my opinion, which I realize is, is probably not widely shared is that even if we were restricted from a software engineering department perspective, almost everything we're teaching should be retooled along devops lines, uh,</v>
      </c>
      <c r="H229" s="3" t="str">
        <f>IFERROR(__xludf.DUMMYFUNCTION("""COMPUTED_VALUE"""),"Use git to teach how to manage the code.")</f>
        <v>Use git to teach how to manage the code.</v>
      </c>
      <c r="I229" s="2" t="s">
        <v>3575</v>
      </c>
    </row>
    <row r="230">
      <c r="A230" s="50" t="s">
        <v>3576</v>
      </c>
      <c r="B230" s="2">
        <f>IFERROR(__xludf.DUMMYFUNCTION("""COMPUTED_VALUE"""),9.0)</f>
        <v>9</v>
      </c>
      <c r="C230" s="2">
        <f>IFERROR(__xludf.DUMMYFUNCTION("""COMPUTED_VALUE"""),21.0)</f>
        <v>21</v>
      </c>
      <c r="D230" s="2" t="str">
        <f>IFERROR(__xludf.DUMMYFUNCTION("""COMPUTED_VALUE"""),"R1 / R2")</f>
        <v>R1 / R2</v>
      </c>
      <c r="E230" s="2" t="str">
        <f>IFERROR(__xludf.DUMMYFUNCTION("""COMPUTED_VALUE"""),"Pedagogy")</f>
        <v>Pedagogy</v>
      </c>
      <c r="F230" s="2" t="str">
        <f>IFERROR(__xludf.DUMMYFUNCTION("""COMPUTED_VALUE"""),"recommendation")</f>
        <v>recommendation</v>
      </c>
      <c r="G230" s="3" t="str">
        <f>IFERROR(__xludf.DUMMYFUNCTION("""COMPUTED_VALUE""")," So being a little bit more forgiving, a lot of the tools that we're using are brand new. For many people, getting them all to work together can be particularly challenging. And so making it a little less stressful, uh, can be helpful.")</f>
        <v> So being a little bit more forgiving, a lot of the tools that we're using are brand new. For many people, getting them all to work together can be particularly challenging. And so making it a little less stressful, uh, can be helpful.</v>
      </c>
      <c r="H230" s="3" t="str">
        <f>IFERROR(__xludf.DUMMYFUNCTION("""COMPUTED_VALUE"""),"Be a little bit more forgivable, understanding that for some people getting all the brand new technologies to work together can be really hard, so make it less stressful .")</f>
        <v>Be a little bit more forgivable, understanding that for some people getting all the brand new technologies to work together can be really hard, so make it less stressful .</v>
      </c>
      <c r="I230" s="2" t="s">
        <v>1111</v>
      </c>
    </row>
    <row r="231">
      <c r="A231" s="50" t="s">
        <v>3577</v>
      </c>
      <c r="B231" s="2">
        <f>IFERROR(__xludf.DUMMYFUNCTION("""COMPUTED_VALUE"""),9.0)</f>
        <v>9</v>
      </c>
      <c r="C231" s="2">
        <f>IFERROR(__xludf.DUMMYFUNCTION("""COMPUTED_VALUE"""),22.0)</f>
        <v>22</v>
      </c>
      <c r="D231" s="2" t="str">
        <f>IFERROR(__xludf.DUMMYFUNCTION("""COMPUTED_VALUE"""),"R2 / R3")</f>
        <v>R2 / R3</v>
      </c>
      <c r="E231" s="2" t="str">
        <f>IFERROR(__xludf.DUMMYFUNCTION("""COMPUTED_VALUE"""),"Pedagogy")</f>
        <v>Pedagogy</v>
      </c>
      <c r="F231" s="2" t="str">
        <f>IFERROR(__xludf.DUMMYFUNCTION("""COMPUTED_VALUE"""),"recommendation")</f>
        <v>recommendation</v>
      </c>
      <c r="G231" s="3" t="str">
        <f>IFERROR(__xludf.DUMMYFUNCTION("""COMPUTED_VALUE"""),"I tend not to get quite as hyper-focused on right versus wrong answers. ... so treating it as, as more of an assessment of maybe architecture, if you will, or an assessment of approach, as opposed to this is right, this is wrong. Uh, I think that's been f"&amp;"airly well received. ")</f>
        <v>I tend not to get quite as hyper-focused on right versus wrong answers. ... so treating it as, as more of an assessment of maybe architecture, if you will, or an assessment of approach, as opposed to this is right, this is wrong. Uh, I think that's been fairly well received. </v>
      </c>
      <c r="H231" s="3" t="str">
        <f>IFERROR(__xludf.DUMMYFUNCTION("""COMPUTED_VALUE"""),"Do not focus your assessment on right versus wrong answers.")</f>
        <v>Do not focus your assessment on right versus wrong answers.</v>
      </c>
      <c r="I231" s="2" t="s">
        <v>3578</v>
      </c>
    </row>
    <row r="232">
      <c r="A232" s="50" t="s">
        <v>3579</v>
      </c>
      <c r="B232" s="2">
        <f>IFERROR(__xludf.DUMMYFUNCTION("""COMPUTED_VALUE"""),9.0)</f>
        <v>9</v>
      </c>
      <c r="C232" s="2">
        <f>IFERROR(__xludf.DUMMYFUNCTION("""COMPUTED_VALUE"""),23.0)</f>
        <v>23</v>
      </c>
      <c r="D232" s="2" t="str">
        <f>IFERROR(__xludf.DUMMYFUNCTION("""COMPUTED_VALUE"""),"R1 / R3")</f>
        <v>R1 / R3</v>
      </c>
      <c r="E232" s="2" t="str">
        <f>IFERROR(__xludf.DUMMYFUNCTION("""COMPUTED_VALUE"""),"Assessment")</f>
        <v>Assessment</v>
      </c>
      <c r="F232" s="2" t="str">
        <f>IFERROR(__xludf.DUMMYFUNCTION("""COMPUTED_VALUE"""),"recommendation")</f>
        <v>recommendation</v>
      </c>
      <c r="G232" s="3" t="str">
        <f>IFERROR(__xludf.DUMMYFUNCTION("""COMPUTED_VALUE"""),"for this course, I haven't done as much in terms of team projects, although I'm rolling that around to every, because everybody loves team projects.")</f>
        <v>for this course, I haven't done as much in terms of team projects, although I'm rolling that around to every, because everybody loves team projects.</v>
      </c>
      <c r="H232" s="3" t="str">
        <f>IFERROR(__xludf.DUMMYFUNCTION("""COMPUTED_VALUE"""),"Students like to work on team projects.")</f>
        <v>Students like to work on team projects.</v>
      </c>
      <c r="I232" s="2" t="s">
        <v>3580</v>
      </c>
    </row>
    <row r="233">
      <c r="A233" s="50" t="s">
        <v>3581</v>
      </c>
      <c r="B233" s="2">
        <f>IFERROR(__xludf.DUMMYFUNCTION("""COMPUTED_VALUE"""),9.0)</f>
        <v>9</v>
      </c>
      <c r="C233" s="2">
        <f>IFERROR(__xludf.DUMMYFUNCTION("""COMPUTED_VALUE"""),23.0)</f>
        <v>23</v>
      </c>
      <c r="D233" s="2" t="str">
        <f>IFERROR(__xludf.DUMMYFUNCTION("""COMPUTED_VALUE"""),"R1 / R3")</f>
        <v>R1 / R3</v>
      </c>
      <c r="E233" s="2" t="str">
        <f>IFERROR(__xludf.DUMMYFUNCTION("""COMPUTED_VALUE"""),"Assessment")</f>
        <v>Assessment</v>
      </c>
      <c r="F233" s="2" t="str">
        <f>IFERROR(__xludf.DUMMYFUNCTION("""COMPUTED_VALUE"""),"recommendation")</f>
        <v>recommendation</v>
      </c>
      <c r="G233" s="2" t="str">
        <f>IFERROR(__xludf.DUMMYFUNCTION("""COMPUTED_VALUE"""),"the exams are really more the conceptual or philosophical elements stuff, where there is a little more of a, a cut and dry response, or at least I try to structure them that way. ")</f>
        <v>the exams are really more the conceptual or philosophical elements stuff, where there is a little more of a, a cut and dry response, or at least I try to structure them that way. </v>
      </c>
      <c r="H233" s="2" t="str">
        <f>IFERROR(__xludf.DUMMYFUNCTION("""COMPUTED_VALUE"""),"The exams have more conceptual or philosophical elements.")</f>
        <v>The exams have more conceptual or philosophical elements.</v>
      </c>
      <c r="I233" s="2" t="s">
        <v>3582</v>
      </c>
    </row>
    <row r="234">
      <c r="A234" s="50" t="s">
        <v>3583</v>
      </c>
      <c r="B234" s="2">
        <f>IFERROR(__xludf.DUMMYFUNCTION("""COMPUTED_VALUE"""),9.0)</f>
        <v>9</v>
      </c>
      <c r="C234" s="2">
        <f>IFERROR(__xludf.DUMMYFUNCTION("""COMPUTED_VALUE"""),24.0)</f>
        <v>24</v>
      </c>
      <c r="D234" s="2" t="str">
        <f>IFERROR(__xludf.DUMMYFUNCTION("""COMPUTED_VALUE"""),"R1 / R3")</f>
        <v>R1 / R3</v>
      </c>
      <c r="E234" s="2" t="str">
        <f>IFERROR(__xludf.DUMMYFUNCTION("""COMPUTED_VALUE"""),"Curriculum")</f>
        <v>Curriculum</v>
      </c>
      <c r="F234" s="2" t="str">
        <f>IFERROR(__xludf.DUMMYFUNCTION("""COMPUTED_VALUE"""),"recommendation")</f>
        <v>recommendation</v>
      </c>
      <c r="G234" s="3" t="str">
        <f>IFERROR(__xludf.DUMMYFUNCTION("""COMPUTED_VALUE"""),"Our particular curriculum tends to allow out of, some degree of necessity and amount of interest based learning. You know, I care about software architecture. And so that's where I want to focus.")</f>
        <v>Our particular curriculum tends to allow out of, some degree of necessity and amount of interest based learning. You know, I care about software architecture. And so that's where I want to focus.</v>
      </c>
      <c r="H234" s="3" t="str">
        <f>IFERROR(__xludf.DUMMYFUNCTION("""COMPUTED_VALUE"""),"Our particular curriculum allows some degree of necessity and amount of interest based learning.")</f>
        <v>Our particular curriculum allows some degree of necessity and amount of interest based learning.</v>
      </c>
      <c r="I234" s="2" t="s">
        <v>621</v>
      </c>
    </row>
    <row r="235">
      <c r="A235" s="50" t="s">
        <v>3584</v>
      </c>
      <c r="B235" s="2">
        <f>IFERROR(__xludf.DUMMYFUNCTION("""COMPUTED_VALUE"""),10.0)</f>
        <v>10</v>
      </c>
      <c r="C235" s="2">
        <f>IFERROR(__xludf.DUMMYFUNCTION("""COMPUTED_VALUE"""),2.0)</f>
        <v>2</v>
      </c>
      <c r="D235" s="2" t="str">
        <f>IFERROR(__xludf.DUMMYFUNCTION("""COMPUTED_VALUE"""),"R2 / R3")</f>
        <v>R2 / R3</v>
      </c>
      <c r="E235" s="2" t="str">
        <f>IFERROR(__xludf.DUMMYFUNCTION("""COMPUTED_VALUE"""),"Educator Experience")</f>
        <v>Educator Experience</v>
      </c>
      <c r="F235" s="2" t="str">
        <f>IFERROR(__xludf.DUMMYFUNCTION("""COMPUTED_VALUE"""),"recommendation")</f>
        <v>recommendation</v>
      </c>
      <c r="G235" s="3" t="str">
        <f>IFERROR(__xludf.DUMMYFUNCTION("""COMPUTED_VALUE"""),"We let the students build only one project, one code base, which is evaluated both on the standpoint of the architecture. ... but also from the angle of continuous integration, do they include build plan?")</f>
        <v>We let the students build only one project, one code base, which is evaluated both on the standpoint of the architecture. ... but also from the angle of continuous integration, do they include build plan?</v>
      </c>
      <c r="H235" s="3" t="str">
        <f>IFERROR(__xludf.DUMMYFUNCTION("""COMPUTED_VALUE"""),"Evaluate the single project of the students on the standpoint of the architecture and also from the angle of continous integration.")</f>
        <v>Evaluate the single project of the students on the standpoint of the architecture and also from the angle of continous integration.</v>
      </c>
      <c r="I235" s="2" t="s">
        <v>1648</v>
      </c>
    </row>
    <row r="236">
      <c r="A236" s="50" t="s">
        <v>3585</v>
      </c>
      <c r="B236" s="2">
        <f>IFERROR(__xludf.DUMMYFUNCTION("""COMPUTED_VALUE"""),10.0)</f>
        <v>10</v>
      </c>
      <c r="C236" s="2">
        <f>IFERROR(__xludf.DUMMYFUNCTION("""COMPUTED_VALUE"""),2.0)</f>
        <v>2</v>
      </c>
      <c r="D236" s="2" t="str">
        <f>IFERROR(__xludf.DUMMYFUNCTION("""COMPUTED_VALUE"""),"R2 / R3")</f>
        <v>R2 / R3</v>
      </c>
      <c r="E236" s="2" t="str">
        <f>IFERROR(__xludf.DUMMYFUNCTION("""COMPUTED_VALUE"""),"Educator Experience")</f>
        <v>Educator Experience</v>
      </c>
      <c r="F236" s="2" t="str">
        <f>IFERROR(__xludf.DUMMYFUNCTION("""COMPUTED_VALUE"""),"recommendation")</f>
        <v>recommendation</v>
      </c>
      <c r="G236" s="3" t="str">
        <f>IFERROR(__xludf.DUMMYFUNCTION("""COMPUTED_VALUE"""),"So we built a curriculum in just very innovative way, the two classes together, a single project, a single teaching team, but we evaluate on two angles.")</f>
        <v>So we built a curriculum in just very innovative way, the two classes together, a single project, a single teaching team, but we evaluate on two angles.</v>
      </c>
      <c r="H236" s="3" t="str">
        <f>IFERROR(__xludf.DUMMYFUNCTION("""COMPUTED_VALUE"""),"Built a curriculum with DevOps and Software Architecture classes together, a single project, a single teaching team, but we evaluate on two angles.")</f>
        <v>Built a curriculum with DevOps and Software Architecture classes together, a single project, a single teaching team, but we evaluate on two angles.</v>
      </c>
      <c r="I236" s="2" t="s">
        <v>1117</v>
      </c>
    </row>
    <row r="237">
      <c r="A237" s="50" t="s">
        <v>3586</v>
      </c>
      <c r="B237" s="2">
        <f>IFERROR(__xludf.DUMMYFUNCTION("""COMPUTED_VALUE"""),10.0)</f>
        <v>10</v>
      </c>
      <c r="C237" s="2">
        <f>IFERROR(__xludf.DUMMYFUNCTION("""COMPUTED_VALUE"""),6.0)</f>
        <v>6</v>
      </c>
      <c r="D237" s="2" t="str">
        <f>IFERROR(__xludf.DUMMYFUNCTION("""COMPUTED_VALUE"""),"R1 / R2")</f>
        <v>R1 / R2</v>
      </c>
      <c r="E237" s="2" t="str">
        <f>IFERROR(__xludf.DUMMYFUNCTION("""COMPUTED_VALUE"""),"General Challenges and Recommendations")</f>
        <v>General Challenges and Recommendations</v>
      </c>
      <c r="F237" s="2" t="str">
        <f>IFERROR(__xludf.DUMMYFUNCTION("""COMPUTED_VALUE"""),"recommendation")</f>
        <v>recommendation</v>
      </c>
      <c r="G237" s="3" t="str">
        <f>IFERROR(__xludf.DUMMYFUNCTION("""COMPUTED_VALUE""")," There was something like 17 groups.")</f>
        <v> There was something like 17 groups.</v>
      </c>
      <c r="H237" s="3" t="str">
        <f>IFERROR(__xludf.DUMMYFUNCTION("""COMPUTED_VALUE"""),"Students organized by groups.")</f>
        <v>Students organized by groups.</v>
      </c>
      <c r="I237" s="2" t="s">
        <v>637</v>
      </c>
    </row>
    <row r="238">
      <c r="A238" s="50" t="s">
        <v>3587</v>
      </c>
      <c r="B238" s="2">
        <f>IFERROR(__xludf.DUMMYFUNCTION("""COMPUTED_VALUE"""),10.0)</f>
        <v>10</v>
      </c>
      <c r="C238" s="2">
        <f>IFERROR(__xludf.DUMMYFUNCTION("""COMPUTED_VALUE"""),7.0)</f>
        <v>7</v>
      </c>
      <c r="D238" s="2" t="str">
        <f>IFERROR(__xludf.DUMMYFUNCTION("""COMPUTED_VALUE"""),"R2 / R3")</f>
        <v>R2 / R3</v>
      </c>
      <c r="E238" s="2" t="str">
        <f>IFERROR(__xludf.DUMMYFUNCTION("""COMPUTED_VALUE"""),"General Challenges and Recommendations")</f>
        <v>General Challenges and Recommendations</v>
      </c>
      <c r="F238" s="2" t="str">
        <f>IFERROR(__xludf.DUMMYFUNCTION("""COMPUTED_VALUE"""),"recommendation")</f>
        <v>recommendation</v>
      </c>
      <c r="G238" s="3" t="str">
        <f>IFERROR(__xludf.DUMMYFUNCTION("""COMPUTED_VALUE"""),"I ended up doing was to give each group a big virtual machine. And on that machine, they run three or four Docker images. Uh, one with Artifactory, one with Jenkins.")</f>
        <v>I ended up doing was to give each group a big virtual machine. And on that machine, they run three or four Docker images. Uh, one with Artifactory, one with Jenkins.</v>
      </c>
      <c r="H238" s="3" t="str">
        <f>IFERROR(__xludf.DUMMYFUNCTION("""COMPUTED_VALUE"""),"Give each group a big virtual machine. And on that machine, run three or four Docker images. One with Artifactory, other with Jenkins.")</f>
        <v>Give each group a big virtual machine. And on that machine, run three or four Docker images. One with Artifactory, other with Jenkins.</v>
      </c>
      <c r="I238" s="2" t="s">
        <v>2540</v>
      </c>
    </row>
    <row r="239">
      <c r="A239" s="50" t="s">
        <v>3588</v>
      </c>
      <c r="B239" s="2">
        <f>IFERROR(__xludf.DUMMYFUNCTION("""COMPUTED_VALUE"""),10.0)</f>
        <v>10</v>
      </c>
      <c r="C239" s="2">
        <f>IFERROR(__xludf.DUMMYFUNCTION("""COMPUTED_VALUE"""),8.0)</f>
        <v>8</v>
      </c>
      <c r="D239" s="2" t="str">
        <f>IFERROR(__xludf.DUMMYFUNCTION("""COMPUTED_VALUE"""),"R1 / R3")</f>
        <v>R1 / R3</v>
      </c>
      <c r="E239" s="2" t="str">
        <f>IFERROR(__xludf.DUMMYFUNCTION("""COMPUTED_VALUE"""),"General Challenges and Recommendations")</f>
        <v>General Challenges and Recommendations</v>
      </c>
      <c r="F239" s="2" t="str">
        <f>IFERROR(__xludf.DUMMYFUNCTION("""COMPUTED_VALUE"""),"recommendation")</f>
        <v>recommendation</v>
      </c>
      <c r="G239" s="3" t="str">
        <f>IFERROR(__xludf.DUMMYFUNCTION("""COMPUTED_VALUE""")," first year I did a lot of concept on the whiteboard, um, and then went to exercise for the students to practice. It's not efficient.")</f>
        <v> first year I did a lot of concept on the whiteboard, um, and then went to exercise for the students to practice. It's not efficient.</v>
      </c>
      <c r="H239" s="3" t="str">
        <f>IFERROR(__xludf.DUMMYFUNCTION("""COMPUTED_VALUE"""),"Is not efficient to have more theoretical part than practice part during the course.")</f>
        <v>Is not efficient to have more theoretical part than practice part during the course.</v>
      </c>
      <c r="I239" s="2" t="s">
        <v>3589</v>
      </c>
    </row>
    <row r="240">
      <c r="A240" s="50" t="s">
        <v>3590</v>
      </c>
      <c r="B240" s="2">
        <f>IFERROR(__xludf.DUMMYFUNCTION("""COMPUTED_VALUE"""),10.0)</f>
        <v>10</v>
      </c>
      <c r="C240" s="2">
        <f>IFERROR(__xludf.DUMMYFUNCTION("""COMPUTED_VALUE"""),8.0)</f>
        <v>8</v>
      </c>
      <c r="D240" s="2" t="str">
        <f>IFERROR(__xludf.DUMMYFUNCTION("""COMPUTED_VALUE"""),"R1 / R3")</f>
        <v>R1 / R3</v>
      </c>
      <c r="E240" s="2" t="str">
        <f>IFERROR(__xludf.DUMMYFUNCTION("""COMPUTED_VALUE"""),"General Challenges and Recommendations")</f>
        <v>General Challenges and Recommendations</v>
      </c>
      <c r="F240" s="2" t="str">
        <f>IFERROR(__xludf.DUMMYFUNCTION("""COMPUTED_VALUE"""),"recommendation")</f>
        <v>recommendation</v>
      </c>
      <c r="G240" s="3" t="str">
        <f>IFERROR(__xludf.DUMMYFUNCTION("""COMPUTED_VALUE"""),"Once you've been to the exercise session, you have to go back to the concept again and display them again because the, some concept only makes sense when you apply them.")</f>
        <v>Once you've been to the exercise session, you have to go back to the concept again and display them again because the, some concept only makes sense when you apply them.</v>
      </c>
      <c r="H240" s="3" t="str">
        <f>IFERROR(__xludf.DUMMYFUNCTION("""COMPUTED_VALUE"""),"DevOps concepts need to be shown in practice so that students can understand.")</f>
        <v>DevOps concepts need to be shown in practice so that students can understand.</v>
      </c>
      <c r="I240" s="2" t="s">
        <v>641</v>
      </c>
    </row>
    <row r="241">
      <c r="A241" s="50" t="s">
        <v>3591</v>
      </c>
      <c r="B241" s="2">
        <f>IFERROR(__xludf.DUMMYFUNCTION("""COMPUTED_VALUE"""),10.0)</f>
        <v>10</v>
      </c>
      <c r="C241" s="2">
        <f>IFERROR(__xludf.DUMMYFUNCTION("""COMPUTED_VALUE"""),9.0)</f>
        <v>9</v>
      </c>
      <c r="D241" s="2" t="str">
        <f>IFERROR(__xludf.DUMMYFUNCTION("""COMPUTED_VALUE"""),"R1 / R3")</f>
        <v>R1 / R3</v>
      </c>
      <c r="E241" s="2" t="str">
        <f>IFERROR(__xludf.DUMMYFUNCTION("""COMPUTED_VALUE"""),"General Challenges and Recommendations")</f>
        <v>General Challenges and Recommendations</v>
      </c>
      <c r="F241" s="2" t="str">
        <f>IFERROR(__xludf.DUMMYFUNCTION("""COMPUTED_VALUE"""),"recommendation")</f>
        <v>recommendation</v>
      </c>
      <c r="G241" s="3" t="str">
        <f>IFERROR(__xludf.DUMMYFUNCTION("""COMPUTED_VALUE"""),"the second recommendation is update your exercises often. ... you can get everything set up.")</f>
        <v>the second recommendation is update your exercises often. ... you can get everything set up.</v>
      </c>
      <c r="H241" s="3" t="str">
        <f>IFERROR(__xludf.DUMMYFUNCTION("""COMPUTED_VALUE"""),"Update your exercises often to get everything set up.")</f>
        <v>Update your exercises often to get everything set up.</v>
      </c>
      <c r="I241" s="2" t="s">
        <v>3592</v>
      </c>
    </row>
    <row r="242">
      <c r="A242" s="50" t="s">
        <v>3593</v>
      </c>
      <c r="B242" s="2">
        <f>IFERROR(__xludf.DUMMYFUNCTION("""COMPUTED_VALUE"""),10.0)</f>
        <v>10</v>
      </c>
      <c r="C242" s="2">
        <f>IFERROR(__xludf.DUMMYFUNCTION("""COMPUTED_VALUE"""),9.0)</f>
        <v>9</v>
      </c>
      <c r="D242" s="2" t="str">
        <f>IFERROR(__xludf.DUMMYFUNCTION("""COMPUTED_VALUE"""),"R1 / R3")</f>
        <v>R1 / R3</v>
      </c>
      <c r="E242" s="2" t="str">
        <f>IFERROR(__xludf.DUMMYFUNCTION("""COMPUTED_VALUE"""),"General Challenges and Recommendations")</f>
        <v>General Challenges and Recommendations</v>
      </c>
      <c r="F242" s="2" t="str">
        <f>IFERROR(__xludf.DUMMYFUNCTION("""COMPUTED_VALUE"""),"recommendation")</f>
        <v>recommendation</v>
      </c>
      <c r="G242" s="3" t="str">
        <f>IFERROR(__xludf.DUMMYFUNCTION("""COMPUTED_VALUE"""),"And then another team uses in a 13 deploys to environment that the first team cannot get to because it's a production environment that the coder will not get access to it. So in real life, you have different teams of people that talk only through some cha"&amp;"nnels. ")</f>
        <v>And then another team uses in a 13 deploys to environment that the first team cannot get to because it's a production environment that the coder will not get access to it. So in real life, you have different teams of people that talk only through some channels. </v>
      </c>
      <c r="H242" s="3" t="str">
        <f>IFERROR(__xludf.DUMMYFUNCTION("""COMPUTED_VALUE"""),"Show the operational constraints to students like coder will not get access to production environment.")</f>
        <v>Show the operational constraints to students like coder will not get access to production environment.</v>
      </c>
      <c r="I242" s="2" t="s">
        <v>647</v>
      </c>
    </row>
    <row r="243">
      <c r="A243" s="50" t="s">
        <v>3594</v>
      </c>
      <c r="B243" s="2">
        <f>IFERROR(__xludf.DUMMYFUNCTION("""COMPUTED_VALUE"""),10.0)</f>
        <v>10</v>
      </c>
      <c r="C243" s="2">
        <f>IFERROR(__xludf.DUMMYFUNCTION("""COMPUTED_VALUE"""),10.0)</f>
        <v>10</v>
      </c>
      <c r="D243" s="2" t="str">
        <f>IFERROR(__xludf.DUMMYFUNCTION("""COMPUTED_VALUE"""),"R1 / R3")</f>
        <v>R1 / R3</v>
      </c>
      <c r="E243" s="2" t="str">
        <f>IFERROR(__xludf.DUMMYFUNCTION("""COMPUTED_VALUE"""),"General Challenges and Recommendations")</f>
        <v>General Challenges and Recommendations</v>
      </c>
      <c r="F243" s="2" t="str">
        <f>IFERROR(__xludf.DUMMYFUNCTION("""COMPUTED_VALUE"""),"recommendation")</f>
        <v>recommendation</v>
      </c>
      <c r="G243" s="3" t="str">
        <f>IFERROR(__xludf.DUMMYFUNCTION("""COMPUTED_VALUE"""),"So you have to have your stack ready, but you have to update it with the current version of the software that you intend the students to use fairly close to the beginning of the session, if you don't want to be surprised. ")</f>
        <v>So you have to have your stack ready, but you have to update it with the current version of the software that you intend the students to use fairly close to the beginning of the session, if you don't want to be surprised. </v>
      </c>
      <c r="H243" s="3" t="str">
        <f>IFERROR(__xludf.DUMMYFUNCTION("""COMPUTED_VALUE"""),"Update your exercises frequently.")</f>
        <v>Update your exercises frequently.</v>
      </c>
      <c r="I243" s="2" t="s">
        <v>3595</v>
      </c>
    </row>
    <row r="244">
      <c r="A244" s="50" t="s">
        <v>3596</v>
      </c>
      <c r="B244" s="2">
        <f>IFERROR(__xludf.DUMMYFUNCTION("""COMPUTED_VALUE"""),10.0)</f>
        <v>10</v>
      </c>
      <c r="C244" s="2">
        <f>IFERROR(__xludf.DUMMYFUNCTION("""COMPUTED_VALUE"""),11.0)</f>
        <v>11</v>
      </c>
      <c r="D244" s="2" t="str">
        <f>IFERROR(__xludf.DUMMYFUNCTION("""COMPUTED_VALUE"""),"R1 / R2")</f>
        <v>R1 / R2</v>
      </c>
      <c r="E244" s="2" t="str">
        <f>IFERROR(__xludf.DUMMYFUNCTION("""COMPUTED_VALUE"""),"Environment Setup")</f>
        <v>Environment Setup</v>
      </c>
      <c r="F244" s="2" t="str">
        <f>IFERROR(__xludf.DUMMYFUNCTION("""COMPUTED_VALUE"""),"recommendation")</f>
        <v>recommendation</v>
      </c>
      <c r="G244" s="3" t="str">
        <f>IFERROR(__xludf.DUMMYFUNCTION("""COMPUTED_VALUE"""),"The thing I've done to try to avoid a little bit of the mess is I want to go gradual. I want to be gradual in the class. So first I teach compilation and testing. Then I teach continuous integration. team A is going to build one piece team B is going to b"&amp;"uild another piece that depends upon what team is built. ")</f>
        <v>The thing I've done to try to avoid a little bit of the mess is I want to go gradual. I want to be gradual in the class. So first I teach compilation and testing. Then I teach continuous integration. team A is going to build one piece team B is going to build another piece that depends upon what team is built. </v>
      </c>
      <c r="H244" s="3" t="str">
        <f>IFERROR(__xludf.DUMMYFUNCTION("""COMPUTED_VALUE"""),"Teach DevOps giving the content gradually, like first teach compilation and testing, then continuous integration; do not give everything right away so easily.")</f>
        <v>Teach DevOps giving the content gradually, like first teach compilation and testing, then continuous integration; do not give everything right away so easily.</v>
      </c>
      <c r="I244" s="2" t="s">
        <v>3597</v>
      </c>
    </row>
    <row r="245">
      <c r="A245" s="50" t="s">
        <v>3598</v>
      </c>
      <c r="B245" s="2">
        <f>IFERROR(__xludf.DUMMYFUNCTION("""COMPUTED_VALUE"""),10.0)</f>
        <v>10</v>
      </c>
      <c r="C245" s="2">
        <f>IFERROR(__xludf.DUMMYFUNCTION("""COMPUTED_VALUE"""),11.0)</f>
        <v>11</v>
      </c>
      <c r="D245" s="2" t="str">
        <f>IFERROR(__xludf.DUMMYFUNCTION("""COMPUTED_VALUE"""),"R1 / R2")</f>
        <v>R1 / R2</v>
      </c>
      <c r="E245" s="2" t="str">
        <f>IFERROR(__xludf.DUMMYFUNCTION("""COMPUTED_VALUE"""),"Environment Setup")</f>
        <v>Environment Setup</v>
      </c>
      <c r="F245" s="2" t="str">
        <f>IFERROR(__xludf.DUMMYFUNCTION("""COMPUTED_VALUE"""),"recommendation")</f>
        <v>recommendation</v>
      </c>
      <c r="G245" s="3" t="str">
        <f>IFERROR(__xludf.DUMMYFUNCTION("""COMPUTED_VALUE"""),"  they need Jenkins. So either you tell them to go install Jenkins, or what I've done is I say, Hey, here's a Docker image for Jenkins.")</f>
        <v>  they need Jenkins. So either you tell them to go install Jenkins, or what I've done is I say, Hey, here's a Docker image for Jenkins.</v>
      </c>
      <c r="H245" s="3" t="str">
        <f>IFERROR(__xludf.DUMMYFUNCTION("""COMPUTED_VALUE"""),"Use Jenkins through a Docker image.")</f>
        <v>Use Jenkins through a Docker image.</v>
      </c>
      <c r="I245" s="2" t="s">
        <v>3599</v>
      </c>
    </row>
    <row r="246">
      <c r="A246" s="50" t="s">
        <v>3600</v>
      </c>
      <c r="B246" s="2">
        <f>IFERROR(__xludf.DUMMYFUNCTION("""COMPUTED_VALUE"""),10.0)</f>
        <v>10</v>
      </c>
      <c r="C246" s="2">
        <f>IFERROR(__xludf.DUMMYFUNCTION("""COMPUTED_VALUE"""),12.0)</f>
        <v>12</v>
      </c>
      <c r="D246" s="2" t="str">
        <f>IFERROR(__xludf.DUMMYFUNCTION("""COMPUTED_VALUE"""),"R2 / R3")</f>
        <v>R2 / R3</v>
      </c>
      <c r="E246" s="2" t="str">
        <f>IFERROR(__xludf.DUMMYFUNCTION("""COMPUTED_VALUE"""),"Environment Setup")</f>
        <v>Environment Setup</v>
      </c>
      <c r="F246" s="2" t="str">
        <f>IFERROR(__xludf.DUMMYFUNCTION("""COMPUTED_VALUE"""),"recommendation")</f>
        <v>recommendation</v>
      </c>
      <c r="G246" s="3" t="str">
        <f>IFERROR(__xludf.DUMMYFUNCTION("""COMPUTED_VALUE"""),"You don't know what is Docker yet, but here's a common line. Just run it. And then here's a common line to run. Artifactory you don't know what it means, just type it like this. Um, it will give you an Artifactory that's running.")</f>
        <v>You don't know what is Docker yet, but here's a common line. Just run it. And then here's a common line to run. Artifactory you don't know what it means, just type it like this. Um, it will give you an Artifactory that's running.</v>
      </c>
      <c r="H246" s="3" t="str">
        <f>IFERROR(__xludf.DUMMYFUNCTION("""COMPUTED_VALUE"""),"Use the tools like Docker and Artifactory in simplest way.")</f>
        <v>Use the tools like Docker and Artifactory in simplest way.</v>
      </c>
      <c r="I246" s="2" t="s">
        <v>1668</v>
      </c>
    </row>
    <row r="247">
      <c r="A247" s="50" t="s">
        <v>3601</v>
      </c>
      <c r="B247" s="2">
        <f>IFERROR(__xludf.DUMMYFUNCTION("""COMPUTED_VALUE"""),10.0)</f>
        <v>10</v>
      </c>
      <c r="C247" s="2">
        <f>IFERROR(__xludf.DUMMYFUNCTION("""COMPUTED_VALUE"""),12.0)</f>
        <v>12</v>
      </c>
      <c r="D247" s="2" t="str">
        <f>IFERROR(__xludf.DUMMYFUNCTION("""COMPUTED_VALUE"""),"R2 / R3")</f>
        <v>R2 / R3</v>
      </c>
      <c r="E247" s="2" t="str">
        <f>IFERROR(__xludf.DUMMYFUNCTION("""COMPUTED_VALUE"""),"Environment Setup")</f>
        <v>Environment Setup</v>
      </c>
      <c r="F247" s="2" t="str">
        <f>IFERROR(__xludf.DUMMYFUNCTION("""COMPUTED_VALUE"""),"recommendation")</f>
        <v>recommendation</v>
      </c>
      <c r="G247" s="3" t="str">
        <f>IFERROR(__xludf.DUMMYFUNCTION("""COMPUTED_VALUE"""),"And then as we go into more concept, like what is Jenkins and what is Artifactory and what is Docker, then we can go back on those things. ")</f>
        <v>And then as we go into more concept, like what is Jenkins and what is Artifactory and what is Docker, then we can go back on those things. </v>
      </c>
      <c r="H247" s="3" t="str">
        <f>IFERROR(__xludf.DUMMYFUNCTION("""COMPUTED_VALUE"""),"Study the tools more when you go into the concepts. For example, deep Docker when you teach containers.")</f>
        <v>Study the tools more when you go into the concepts. For example, deep Docker when you teach containers.</v>
      </c>
      <c r="I247" s="2" t="s">
        <v>1670</v>
      </c>
    </row>
    <row r="248">
      <c r="A248" s="50" t="s">
        <v>3602</v>
      </c>
      <c r="B248" s="2">
        <f>IFERROR(__xludf.DUMMYFUNCTION("""COMPUTED_VALUE"""),10.0)</f>
        <v>10</v>
      </c>
      <c r="C248" s="2">
        <f>IFERROR(__xludf.DUMMYFUNCTION("""COMPUTED_VALUE"""),13.0)</f>
        <v>13</v>
      </c>
      <c r="D248" s="2" t="str">
        <f>IFERROR(__xludf.DUMMYFUNCTION("""COMPUTED_VALUE"""),"R1 / R3")</f>
        <v>R1 / R3</v>
      </c>
      <c r="E248" s="2" t="str">
        <f>IFERROR(__xludf.DUMMYFUNCTION("""COMPUTED_VALUE"""),"Environment Setup")</f>
        <v>Environment Setup</v>
      </c>
      <c r="F248" s="2" t="str">
        <f>IFERROR(__xludf.DUMMYFUNCTION("""COMPUTED_VALUE"""),"recommendation")</f>
        <v>recommendation</v>
      </c>
      <c r="G248" s="3" t="str">
        <f>IFERROR(__xludf.DUMMYFUNCTION("""COMPUTED_VALUE"""),"what helps is to build something that is portable and something that can be broken down into several pieces where one student runs one bit and then another students runs the rest. It's also good because it forces them to work as a group.")</f>
        <v>what helps is to build something that is portable and something that can be broken down into several pieces where one student runs one bit and then another students runs the rest. It's also good because it forces them to work as a group.</v>
      </c>
      <c r="H248" s="3" t="str">
        <f>IFERROR(__xludf.DUMMYFUNCTION("""COMPUTED_VALUE"""),"Build something that is portable and something that can be broken down into several pieces where one student runs one bit and then another students runs the rest. ")</f>
        <v>Build something that is portable and something that can be broken down into several pieces where one student runs one bit and then another students runs the rest. </v>
      </c>
      <c r="I248" s="2" t="s">
        <v>3603</v>
      </c>
    </row>
    <row r="249">
      <c r="A249" s="50" t="s">
        <v>3604</v>
      </c>
      <c r="B249" s="2">
        <f>IFERROR(__xludf.DUMMYFUNCTION("""COMPUTED_VALUE"""),10.0)</f>
        <v>10</v>
      </c>
      <c r="C249" s="2">
        <f>IFERROR(__xludf.DUMMYFUNCTION("""COMPUTED_VALUE"""),15.0)</f>
        <v>15</v>
      </c>
      <c r="D249" s="2" t="str">
        <f>IFERROR(__xludf.DUMMYFUNCTION("""COMPUTED_VALUE"""),"R1 / R3")</f>
        <v>R1 / R3</v>
      </c>
      <c r="E249" s="2" t="str">
        <f>IFERROR(__xludf.DUMMYFUNCTION("""COMPUTED_VALUE"""),"Tool / Technology")</f>
        <v>Tool / Technology</v>
      </c>
      <c r="F249" s="2" t="str">
        <f>IFERROR(__xludf.DUMMYFUNCTION("""COMPUTED_VALUE"""),"recommendation")</f>
        <v>recommendation</v>
      </c>
      <c r="G249" s="3" t="str">
        <f>IFERROR(__xludf.DUMMYFUNCTION("""COMPUTED_VALUE"""),"in this year, if you do that, it's too early and it's going to be too hard for you as a teacher to, to know what's going on. So by forcing the technology stack and telling them, ")</f>
        <v>in this year, if you do that, it's too early and it's going to be too hard for you as a teacher to, to know what's going on. So by forcing the technology stack and telling them, </v>
      </c>
      <c r="H249" s="3" t="str">
        <f>IFERROR(__xludf.DUMMYFUNCTION("""COMPUTED_VALUE"""),"Force students to use technology stack used on course.")</f>
        <v>Force students to use technology stack used on course.</v>
      </c>
      <c r="I249" s="2" t="s">
        <v>3605</v>
      </c>
    </row>
    <row r="250">
      <c r="A250" s="50" t="s">
        <v>3606</v>
      </c>
      <c r="B250" s="2">
        <f>IFERROR(__xludf.DUMMYFUNCTION("""COMPUTED_VALUE"""),10.0)</f>
        <v>10</v>
      </c>
      <c r="C250" s="2">
        <f>IFERROR(__xludf.DUMMYFUNCTION("""COMPUTED_VALUE"""),15.0)</f>
        <v>15</v>
      </c>
      <c r="D250" s="2" t="str">
        <f>IFERROR(__xludf.DUMMYFUNCTION("""COMPUTED_VALUE"""),"R1 / R3")</f>
        <v>R1 / R3</v>
      </c>
      <c r="E250" s="2" t="str">
        <f>IFERROR(__xludf.DUMMYFUNCTION("""COMPUTED_VALUE"""),"Tool / Technology")</f>
        <v>Tool / Technology</v>
      </c>
      <c r="F250" s="2" t="str">
        <f>IFERROR(__xludf.DUMMYFUNCTION("""COMPUTED_VALUE"""),"recommendation")</f>
        <v>recommendation</v>
      </c>
      <c r="G250" s="3" t="str">
        <f>IFERROR(__xludf.DUMMYFUNCTION("""COMPUTED_VALUE"""),"we will also build a sample, which is on github. I'll send you the link. If you want. We build a sample that is called a cookie factory. Um, it's, it's a system to handle a cookie factory where you can order cookie pay for them, and you get a shopping car"&amp;"t with cookies, et cetera, right? So it's just a small sample,")</f>
        <v>we will also build a sample, which is on github. I'll send you the link. If you want. We build a sample that is called a cookie factory. Um, it's, it's a system to handle a cookie factory where you can order cookie pay for them, and you get a shopping cart with cookies, et cetera, right? So it's just a small sample,</v>
      </c>
      <c r="H250" s="3" t="str">
        <f>IFERROR(__xludf.DUMMYFUNCTION("""COMPUTED_VALUE"""),"Use small projects with students.")</f>
        <v>Use small projects with students.</v>
      </c>
      <c r="I250" s="2" t="s">
        <v>3607</v>
      </c>
    </row>
    <row r="251">
      <c r="A251" s="50" t="s">
        <v>3608</v>
      </c>
      <c r="B251" s="2">
        <f>IFERROR(__xludf.DUMMYFUNCTION("""COMPUTED_VALUE"""),10.0)</f>
        <v>10</v>
      </c>
      <c r="C251" s="2">
        <f>IFERROR(__xludf.DUMMYFUNCTION("""COMPUTED_VALUE"""),15.0)</f>
        <v>15</v>
      </c>
      <c r="D251" s="2" t="str">
        <f>IFERROR(__xludf.DUMMYFUNCTION("""COMPUTED_VALUE"""),"R1 / R3")</f>
        <v>R1 / R3</v>
      </c>
      <c r="E251" s="2" t="str">
        <f>IFERROR(__xludf.DUMMYFUNCTION("""COMPUTED_VALUE"""),"Tool / Technology")</f>
        <v>Tool / Technology</v>
      </c>
      <c r="F251" s="2" t="str">
        <f>IFERROR(__xludf.DUMMYFUNCTION("""COMPUTED_VALUE"""),"recommendation")</f>
        <v>recommendation</v>
      </c>
      <c r="G251" s="3" t="str">
        <f>IFERROR(__xludf.DUMMYFUNCTION("""COMPUTED_VALUE"""),"but, but it's been billed according to the right guidelines that we want them to use. So they can borrow heavily from the sample. They can see sample testifies, sample integration test, sample Docker files, componentization, et cetera.")</f>
        <v>but, but it's been billed according to the right guidelines that we want them to use. So they can borrow heavily from the sample. They can see sample testifies, sample integration test, sample Docker files, componentization, et cetera.</v>
      </c>
      <c r="H251" s="3" t="str">
        <f>IFERROR(__xludf.DUMMYFUNCTION("""COMPUTED_VALUE"""),"Create examples and guidelines to help students develop their solution based on it.")</f>
        <v>Create examples and guidelines to help students develop their solution based on it.</v>
      </c>
      <c r="I251" s="2" t="s">
        <v>3609</v>
      </c>
    </row>
    <row r="252">
      <c r="A252" s="50" t="s">
        <v>3610</v>
      </c>
      <c r="B252" s="2">
        <f>IFERROR(__xludf.DUMMYFUNCTION("""COMPUTED_VALUE"""),10.0)</f>
        <v>10</v>
      </c>
      <c r="C252" s="2">
        <f>IFERROR(__xludf.DUMMYFUNCTION("""COMPUTED_VALUE"""),15.0)</f>
        <v>15</v>
      </c>
      <c r="D252" s="2" t="str">
        <f>IFERROR(__xludf.DUMMYFUNCTION("""COMPUTED_VALUE"""),"R1 / R3")</f>
        <v>R1 / R3</v>
      </c>
      <c r="E252" s="2" t="str">
        <f>IFERROR(__xludf.DUMMYFUNCTION("""COMPUTED_VALUE"""),"Tool / Technology")</f>
        <v>Tool / Technology</v>
      </c>
      <c r="F252" s="2" t="str">
        <f>IFERROR(__xludf.DUMMYFUNCTION("""COMPUTED_VALUE"""),"recommendation")</f>
        <v>recommendation</v>
      </c>
      <c r="G252" s="3" t="str">
        <f>IFERROR(__xludf.DUMMYFUNCTION("""COMPUTED_VALUE"""),"I mean, they're free to do what they want from a functional standpoint in the project.")</f>
        <v>I mean, they're free to do what they want from a functional standpoint in the project.</v>
      </c>
      <c r="H252" s="3" t="str">
        <f>IFERROR(__xludf.DUMMYFUNCTION("""COMPUTED_VALUE"""),"It is necessary to give freedom to student develop their functional solution.")</f>
        <v>It is necessary to give freedom to student develop their functional solution.</v>
      </c>
      <c r="I252" s="2" t="s">
        <v>2562</v>
      </c>
    </row>
    <row r="253">
      <c r="A253" s="50" t="s">
        <v>3611</v>
      </c>
      <c r="B253" s="2">
        <f>IFERROR(__xludf.DUMMYFUNCTION("""COMPUTED_VALUE"""),10.0)</f>
        <v>10</v>
      </c>
      <c r="C253" s="2">
        <f>IFERROR(__xludf.DUMMYFUNCTION("""COMPUTED_VALUE"""),15.0)</f>
        <v>15</v>
      </c>
      <c r="D253" s="2" t="str">
        <f>IFERROR(__xludf.DUMMYFUNCTION("""COMPUTED_VALUE"""),"R1 / R3")</f>
        <v>R1 / R3</v>
      </c>
      <c r="E253" s="2" t="str">
        <f>IFERROR(__xludf.DUMMYFUNCTION("""COMPUTED_VALUE"""),"Tool / Technology")</f>
        <v>Tool / Technology</v>
      </c>
      <c r="F253" s="2" t="str">
        <f>IFERROR(__xludf.DUMMYFUNCTION("""COMPUTED_VALUE"""),"recommendation")</f>
        <v>recommendation</v>
      </c>
      <c r="G253" s="3" t="str">
        <f>IFERROR(__xludf.DUMMYFUNCTION("""COMPUTED_VALUE"""),"but from a tools and technology, we force just on them to avoid too many variation between the groups.")</f>
        <v>but from a tools and technology, we force just on them to avoid too many variation between the groups.</v>
      </c>
      <c r="H253" s="3" t="str">
        <f>IFERROR(__xludf.DUMMYFUNCTION("""COMPUTED_VALUE"""),"We force tools and tecnology and alert them to avoid too many variation between the groups.")</f>
        <v>We force tools and tecnology and alert them to avoid too many variation between the groups.</v>
      </c>
      <c r="I253" s="2" t="s">
        <v>3612</v>
      </c>
    </row>
    <row r="254">
      <c r="A254" s="50" t="s">
        <v>3613</v>
      </c>
      <c r="B254" s="2">
        <f>IFERROR(__xludf.DUMMYFUNCTION("""COMPUTED_VALUE"""),10.0)</f>
        <v>10</v>
      </c>
      <c r="C254" s="2">
        <f>IFERROR(__xludf.DUMMYFUNCTION("""COMPUTED_VALUE"""),16.0)</f>
        <v>16</v>
      </c>
      <c r="D254" s="2" t="str">
        <f>IFERROR(__xludf.DUMMYFUNCTION("""COMPUTED_VALUE"""),"R1 / R2")</f>
        <v>R1 / R2</v>
      </c>
      <c r="E254" s="2" t="str">
        <f>IFERROR(__xludf.DUMMYFUNCTION("""COMPUTED_VALUE"""),"DevOps Concepts")</f>
        <v>DevOps Concepts</v>
      </c>
      <c r="F254" s="2" t="str">
        <f>IFERROR(__xludf.DUMMYFUNCTION("""COMPUTED_VALUE"""),"recommendation")</f>
        <v>recommendation</v>
      </c>
      <c r="G254" s="3" t="str">
        <f>IFERROR(__xludf.DUMMYFUNCTION("""COMPUTED_VALUE"""),"I was saying at the beginning is that when you tell them that they're going to get their hands dirty and things that work one day will not work the other day, they start laughing. They don't take it seriously. Um, and then when they, when they building an"&amp;"d they build a script to, I don't know, run some integration tests or to magically build Docker images and deploy them, it works on the machine on one guy of the group because they're working group, right? So they talk together. The one guy actually typin"&amp;"g on the keyboard, he commits a script and they go, yes, we're done for the day. Let's go to some of the tasks, right? And then the next day somebody else was in the group wants to use it. And it doesn't work for them because they have a different environ"&amp;"ment because the script was assuming that the Docker was installed.
")</f>
        <v>I was saying at the beginning is that when you tell them that they're going to get their hands dirty and things that work one day will not work the other day, they start laughing. They don't take it seriously. Um, and then when they, when they building and they build a script to, I don't know, run some integration tests or to magically build Docker images and deploy them, it works on the machine on one guy of the group because they're working group, right? So they talk together. The one guy actually typing on the keyboard, he commits a script and they go, yes, we're done for the day. Let's go to some of the tasks, right? And then the next day somebody else was in the group wants to use it. And it doesn't work for them because they have a different environment because the script was assuming that the Docker was installed.
</v>
      </c>
      <c r="H254" s="3" t="str">
        <f>IFERROR(__xludf.DUMMYFUNCTION("""COMPUTED_VALUE"""),"Students only understand problems of the environment setup when they experiment in the practice.")</f>
        <v>Students only understand problems of the environment setup when they experiment in the practice.</v>
      </c>
      <c r="I254" s="2" t="s">
        <v>3614</v>
      </c>
    </row>
    <row r="255">
      <c r="A255" s="50" t="s">
        <v>3615</v>
      </c>
      <c r="B255" s="2">
        <f>IFERROR(__xludf.DUMMYFUNCTION("""COMPUTED_VALUE"""),10.0)</f>
        <v>10</v>
      </c>
      <c r="C255" s="2">
        <f>IFERROR(__xludf.DUMMYFUNCTION("""COMPUTED_VALUE"""),17.0)</f>
        <v>17</v>
      </c>
      <c r="D255" s="2" t="str">
        <f>IFERROR(__xludf.DUMMYFUNCTION("""COMPUTED_VALUE"""),"R2 / R3")</f>
        <v>R2 / R3</v>
      </c>
      <c r="E255" s="2" t="str">
        <f>IFERROR(__xludf.DUMMYFUNCTION("""COMPUTED_VALUE"""),"DevOps Concepts")</f>
        <v>DevOps Concepts</v>
      </c>
      <c r="F255" s="2" t="str">
        <f>IFERROR(__xludf.DUMMYFUNCTION("""COMPUTED_VALUE"""),"recommendation")</f>
        <v>recommendation</v>
      </c>
      <c r="G255" s="3" t="str">
        <f>IFERROR(__xludf.DUMMYFUNCTION("""COMPUTED_VALUE"""),"That's why we build a class where we have a ratio of about one hour of classroom concept teaching on the whiteboard or something at three hours where they actually type on the keyboard of practical session. I think that's important. Otherwise they don't s"&amp;"ee it. ")</f>
        <v>That's why we build a class where we have a ratio of about one hour of classroom concept teaching on the whiteboard or something at three hours where they actually type on the keyboard of practical session. I think that's important. Otherwise they don't see it. </v>
      </c>
      <c r="H255" s="3" t="str">
        <f>IFERROR(__xludf.DUMMYFUNCTION("""COMPUTED_VALUE"""),"One hour of classrom concept teaching and three hours of practical session.")</f>
        <v>One hour of classrom concept teaching and three hours of practical session.</v>
      </c>
      <c r="I255" s="2" t="s">
        <v>1135</v>
      </c>
    </row>
    <row r="256">
      <c r="A256" s="50" t="s">
        <v>3616</v>
      </c>
      <c r="B256" s="2">
        <f>IFERROR(__xludf.DUMMYFUNCTION("""COMPUTED_VALUE"""),10.0)</f>
        <v>10</v>
      </c>
      <c r="C256" s="2">
        <f>IFERROR(__xludf.DUMMYFUNCTION("""COMPUTED_VALUE"""),20.0)</f>
        <v>20</v>
      </c>
      <c r="D256" s="2" t="str">
        <f>IFERROR(__xludf.DUMMYFUNCTION("""COMPUTED_VALUE"""),"R1 / R3")</f>
        <v>R1 / R3</v>
      </c>
      <c r="E256" s="2" t="str">
        <f>IFERROR(__xludf.DUMMYFUNCTION("""COMPUTED_VALUE"""),"Pedagogy")</f>
        <v>Pedagogy</v>
      </c>
      <c r="F256" s="2" t="str">
        <f>IFERROR(__xludf.DUMMYFUNCTION("""COMPUTED_VALUE"""),"recommendation")</f>
        <v>recommendation</v>
      </c>
      <c r="G256" s="3" t="str">
        <f>IFERROR(__xludf.DUMMYFUNCTION("""COMPUTED_VALUE"""),"I've tried to be very incremental. Um, first teach the value of tests, then write the script to build everything on your desk. You don't need any you're alone. ... Then break it down into several components and build them one by one, then put an Artifacto"&amp;"ry in the middle. So you have the dependency. ... So you can imagine that each people in the group is like a different team in the world. ")</f>
        <v>I've tried to be very incremental. Um, first teach the value of tests, then write the script to build everything on your desk. You don't need any you're alone. ... Then break it down into several components and build them one by one, then put an Artifactory in the middle. So you have the dependency. ... So you can imagine that each people in the group is like a different team in the world. </v>
      </c>
      <c r="H256" s="3" t="str">
        <f>IFERROR(__xludf.DUMMYFUNCTION("""COMPUTED_VALUE"""),"Try to be very incremental. Everything on your desk first. Splits into several components. Build them one by one. Start working in group.")</f>
        <v>Try to be very incremental. Everything on your desk first. Splits into several components. Build them one by one. Start working in group.</v>
      </c>
      <c r="I256" s="2" t="s">
        <v>1685</v>
      </c>
    </row>
    <row r="257">
      <c r="A257" s="50" t="s">
        <v>3617</v>
      </c>
      <c r="B257" s="2">
        <f>IFERROR(__xludf.DUMMYFUNCTION("""COMPUTED_VALUE"""),10.0)</f>
        <v>10</v>
      </c>
      <c r="C257" s="2">
        <f>IFERROR(__xludf.DUMMYFUNCTION("""COMPUTED_VALUE"""),21.0)</f>
        <v>21</v>
      </c>
      <c r="D257" s="2" t="str">
        <f>IFERROR(__xludf.DUMMYFUNCTION("""COMPUTED_VALUE"""),"R1 / R2")</f>
        <v>R1 / R2</v>
      </c>
      <c r="E257" s="2" t="str">
        <f>IFERROR(__xludf.DUMMYFUNCTION("""COMPUTED_VALUE"""),"Pedagogy")</f>
        <v>Pedagogy</v>
      </c>
      <c r="F257" s="2" t="str">
        <f>IFERROR(__xludf.DUMMYFUNCTION("""COMPUTED_VALUE"""),"recommendation")</f>
        <v>recommendation</v>
      </c>
      <c r="G257" s="3" t="str">
        <f>IFERROR(__xludf.DUMMYFUNCTION("""COMPUTED_VALUE"""),"Go gradually. Um, so tha t,that was part of my strategy. The other thing is I've built a few, what I called a, um, whiteboard free session. So I go something like every week we have half a day, one hour of, uh, formal teaching. And then two hours exercise"&amp;" and we do that for like three weeks in a row. [...] So I do like three classrooms, one free session inspired by what they fail on and I continue.
")</f>
        <v>Go gradually. Um, so tha t,that was part of my strategy. The other thing is I've built a few, what I called a, um, whiteboard free session. So I go something like every week we have half a day, one hour of, uh, formal teaching. And then two hours exercise and we do that for like three weeks in a row. [...] So I do like three classrooms, one free session inspired by what they fail on and I continue.
</v>
      </c>
      <c r="H257" s="3" t="str">
        <f>IFERROR(__xludf.DUMMYFUNCTION("""COMPUTED_VALUE"""),"Build whiteboard free sessions inspired by what students have failed and the two hours exercise")</f>
        <v>Build whiteboard free sessions inspired by what students have failed and the two hours exercise</v>
      </c>
      <c r="I257" s="2" t="s">
        <v>3618</v>
      </c>
    </row>
    <row r="258">
      <c r="A258" s="50" t="s">
        <v>3619</v>
      </c>
      <c r="B258" s="2">
        <f>IFERROR(__xludf.DUMMYFUNCTION("""COMPUTED_VALUE"""),10.0)</f>
        <v>10</v>
      </c>
      <c r="C258" s="2">
        <f>IFERROR(__xludf.DUMMYFUNCTION("""COMPUTED_VALUE"""),22.0)</f>
        <v>22</v>
      </c>
      <c r="D258" s="2" t="str">
        <f>IFERROR(__xludf.DUMMYFUNCTION("""COMPUTED_VALUE"""),"R2 / R3")</f>
        <v>R2 / R3</v>
      </c>
      <c r="E258" s="2" t="str">
        <f>IFERROR(__xludf.DUMMYFUNCTION("""COMPUTED_VALUE"""),"Assessment")</f>
        <v>Assessment</v>
      </c>
      <c r="F258" s="2" t="str">
        <f>IFERROR(__xludf.DUMMYFUNCTION("""COMPUTED_VALUE"""),"recommendation")</f>
        <v>recommendation</v>
      </c>
      <c r="G258" s="3" t="str">
        <f>IFERROR(__xludf.DUMMYFUNCTION("""COMPUTED_VALUE"""),"we've done live presentation, where they have something that 20 minutes to describe the architecture, to describe their build strategy, that test strategy and demonstrate it on the screen. Um, and that is evaluated by a jury of one representative from the"&amp;" software architecture class and one representative from the DevOps class.")</f>
        <v>we've done live presentation, where they have something that 20 minutes to describe the architecture, to describe their build strategy, that test strategy and demonstrate it on the screen. Um, and that is evaluated by a jury of one representative from the software architecture class and one representative from the DevOps class.</v>
      </c>
      <c r="H258" s="3" t="str">
        <f>IFERROR(__xludf.DUMMYFUNCTION("""COMPUTED_VALUE"""),"The students have something that 20 minutes to describe the architecture of the project, to describe their build strategy, that test strategy and demonstrate it on the screen. That is evaluated by a jury of one representative from the software architectur"&amp;"e class and one representative from the DevOps class.")</f>
        <v>The students have something that 20 minutes to describe the architecture of the project, to describe their build strategy, that test strategy and demonstrate it on the screen. That is evaluated by a jury of one representative from the software architecture class and one representative from the DevOps class.</v>
      </c>
      <c r="I258" s="2" t="s">
        <v>3620</v>
      </c>
    </row>
    <row r="259">
      <c r="A259" s="50" t="s">
        <v>3621</v>
      </c>
      <c r="B259" s="2">
        <f>IFERROR(__xludf.DUMMYFUNCTION("""COMPUTED_VALUE"""),10.0)</f>
        <v>10</v>
      </c>
      <c r="C259" s="2">
        <f>IFERROR(__xludf.DUMMYFUNCTION("""COMPUTED_VALUE"""),23.0)</f>
        <v>23</v>
      </c>
      <c r="D259" s="2" t="str">
        <f>IFERROR(__xludf.DUMMYFUNCTION("""COMPUTED_VALUE"""),"R1 / R3")</f>
        <v>R1 / R3</v>
      </c>
      <c r="E259" s="2" t="str">
        <f>IFERROR(__xludf.DUMMYFUNCTION("""COMPUTED_VALUE"""),"Assessment")</f>
        <v>Assessment</v>
      </c>
      <c r="F259" s="2" t="str">
        <f>IFERROR(__xludf.DUMMYFUNCTION("""COMPUTED_VALUE"""),"recommendation")</f>
        <v>recommendation</v>
      </c>
      <c r="G259" s="3" t="str">
        <f>IFERROR(__xludf.DUMMYFUNCTION("""COMPUTED_VALUE""")," we also do two evaluations, one in the middle and one at the end. So the one in the middle, we call it MVP evaluation. And we tell them, at this point, you should have reached an MVP, which is basically a walking skeleton for your code. We don't care if "&amp;"when you call the API, the only code of the API is return true, or which are 12, but we care that you have the components in place. You can build them independently and they can talk to each other. Right? So at this, we validate that your componentization"&amp;" and your architecture is good even before you start building algorithms and the functional code. Um, so we do that and that's, again, that's to catch early, um, architecture mistakes.
")</f>
        <v> we also do two evaluations, one in the middle and one at the end. So the one in the middle, we call it MVP evaluation. And we tell them, at this point, you should have reached an MVP, which is basically a walking skeleton for your code. We don't care if when you call the API, the only code of the API is return true, or which are 12, but we care that you have the components in place. You can build them independently and they can talk to each other. Right? So at this, we validate that your componentization and your architecture is good even before you start building algorithms and the functional code. Um, so we do that and that's, again, that's to catch early, um, architecture mistakes.
</v>
      </c>
      <c r="H259" s="3" t="str">
        <f>IFERROR(__xludf.DUMMYFUNCTION("""COMPUTED_VALUE"""),"Use MVP (Minimum viable product) evaluation to validate components of the project. Make an evaluation in the middle and the final course.")</f>
        <v>Use MVP (Minimum viable product) evaluation to validate components of the project. Make an evaluation in the middle and the final course.</v>
      </c>
      <c r="I259" s="2" t="s">
        <v>3622</v>
      </c>
    </row>
    <row r="260">
      <c r="A260" s="50" t="s">
        <v>3623</v>
      </c>
      <c r="B260" s="2">
        <f>IFERROR(__xludf.DUMMYFUNCTION("""COMPUTED_VALUE"""),10.0)</f>
        <v>10</v>
      </c>
      <c r="C260" s="2">
        <f>IFERROR(__xludf.DUMMYFUNCTION("""COMPUTED_VALUE"""),24.0)</f>
        <v>24</v>
      </c>
      <c r="D260" s="2" t="str">
        <f>IFERROR(__xludf.DUMMYFUNCTION("""COMPUTED_VALUE"""),"R1 / R3")</f>
        <v>R1 / R3</v>
      </c>
      <c r="E260" s="2" t="str">
        <f>IFERROR(__xludf.DUMMYFUNCTION("""COMPUTED_VALUE"""),"Assessment")</f>
        <v>Assessment</v>
      </c>
      <c r="F260" s="2" t="str">
        <f>IFERROR(__xludf.DUMMYFUNCTION("""COMPUTED_VALUE"""),"recommendation")</f>
        <v>recommendation</v>
      </c>
      <c r="G260" s="3" t="str">
        <f>IFERROR(__xludf.DUMMYFUNCTION("""COMPUTED_VALUE"""),"we also have a lot of evaluation during the exercise. When group after group, where we, we give them flags if week green, yellow, or red, based on where we think they are, uh, regarding the objectives.")</f>
        <v>we also have a lot of evaluation during the exercise. When group after group, where we, we give them flags if week green, yellow, or red, based on where we think they are, uh, regarding the objectives.</v>
      </c>
      <c r="H260" s="3" t="str">
        <f>IFERROR(__xludf.DUMMYFUNCTION("""COMPUTED_VALUE"""),"Do many evaluations of students project along with the discipline. Use green, yellow or red flags to evaluate the group.")</f>
        <v>Do many evaluations of students project along with the discipline. Use green, yellow or red flags to evaluate the group.</v>
      </c>
      <c r="I260" s="2" t="s">
        <v>3624</v>
      </c>
    </row>
    <row r="261">
      <c r="A261" s="50" t="s">
        <v>3625</v>
      </c>
      <c r="B261" s="2">
        <f>IFERROR(__xludf.DUMMYFUNCTION("""COMPUTED_VALUE"""),10.0)</f>
        <v>10</v>
      </c>
      <c r="C261" s="2">
        <f>IFERROR(__xludf.DUMMYFUNCTION("""COMPUTED_VALUE"""),25.0)</f>
        <v>25</v>
      </c>
      <c r="D261" s="2" t="str">
        <f>IFERROR(__xludf.DUMMYFUNCTION("""COMPUTED_VALUE"""),"R1 / R3")</f>
        <v>R1 / R3</v>
      </c>
      <c r="E261" s="2" t="str">
        <f>IFERROR(__xludf.DUMMYFUNCTION("""COMPUTED_VALUE"""),"Curriculum")</f>
        <v>Curriculum</v>
      </c>
      <c r="F261" s="2" t="str">
        <f>IFERROR(__xludf.DUMMYFUNCTION("""COMPUTED_VALUE"""),"recommendation")</f>
        <v>recommendation</v>
      </c>
      <c r="G261" s="3" t="str">
        <f>IFERROR(__xludf.DUMMYFUNCTION("""COMPUTED_VALUE"""),"we help them manage stories, backlog. Uh, so it's more on the front of, we give you requirements.")</f>
        <v>we help them manage stories, backlog. Uh, so it's more on the front of, we give you requirements.</v>
      </c>
      <c r="H261" s="3" t="str">
        <f>IFERROR(__xludf.DUMMYFUNCTION("""COMPUTED_VALUE"""),"Help students manage stories and backlog.")</f>
        <v>Help students manage stories and backlog.</v>
      </c>
      <c r="I261" s="2" t="s">
        <v>3626</v>
      </c>
    </row>
    <row r="262">
      <c r="A262" s="50" t="s">
        <v>3627</v>
      </c>
      <c r="B262" s="2">
        <f>IFERROR(__xludf.DUMMYFUNCTION("""COMPUTED_VALUE"""),10.0)</f>
        <v>10</v>
      </c>
      <c r="C262" s="2">
        <f>IFERROR(__xludf.DUMMYFUNCTION("""COMPUTED_VALUE"""),25.0)</f>
        <v>25</v>
      </c>
      <c r="D262" s="2" t="str">
        <f>IFERROR(__xludf.DUMMYFUNCTION("""COMPUTED_VALUE"""),"R1 / R3")</f>
        <v>R1 / R3</v>
      </c>
      <c r="E262" s="2" t="str">
        <f>IFERROR(__xludf.DUMMYFUNCTION("""COMPUTED_VALUE"""),"Curriculum")</f>
        <v>Curriculum</v>
      </c>
      <c r="F262" s="2" t="str">
        <f>IFERROR(__xludf.DUMMYFUNCTION("""COMPUTED_VALUE"""),"recommendation")</f>
        <v>recommendation</v>
      </c>
      <c r="G262" s="3" t="str">
        <f>IFERROR(__xludf.DUMMYFUNCTION("""COMPUTED_VALUE"""),"we've introduced recently is a notion of digital branches and feature branches, for example, uh, linked to stories, but we try to just give them small individual tools. ")</f>
        <v>we've introduced recently is a notion of digital branches and feature branches, for example, uh, linked to stories, but we try to just give them small individual tools. </v>
      </c>
      <c r="H262" s="3" t="str">
        <f>IFERROR(__xludf.DUMMYFUNCTION("""COMPUTED_VALUE"""),"Introduce the notion of digital branches and feature branches using small individual tools.")</f>
        <v>Introduce the notion of digital branches and feature branches using small individual tools.</v>
      </c>
      <c r="I262" s="2" t="s">
        <v>3628</v>
      </c>
    </row>
    <row r="263">
      <c r="A263" s="50" t="s">
        <v>3629</v>
      </c>
      <c r="B263" s="2">
        <f>IFERROR(__xludf.DUMMYFUNCTION("""COMPUTED_VALUE"""),10.0)</f>
        <v>10</v>
      </c>
      <c r="C263" s="2">
        <f>IFERROR(__xludf.DUMMYFUNCTION("""COMPUTED_VALUE"""),26.0)</f>
        <v>26</v>
      </c>
      <c r="D263" s="2" t="str">
        <f>IFERROR(__xludf.DUMMYFUNCTION("""COMPUTED_VALUE"""),"R1 / R2")</f>
        <v>R1 / R2</v>
      </c>
      <c r="E263" s="2" t="str">
        <f>IFERROR(__xludf.DUMMYFUNCTION("""COMPUTED_VALUE"""),"Curriculum")</f>
        <v>Curriculum</v>
      </c>
      <c r="F263" s="2" t="str">
        <f>IFERROR(__xludf.DUMMYFUNCTION("""COMPUTED_VALUE"""),"recommendation")</f>
        <v>recommendation</v>
      </c>
      <c r="G263" s="3" t="str">
        <f>IFERROR(__xludf.DUMMYFUNCTION("""COMPUTED_VALUE"""),"It's an option that we give them the year before too preparing them.")</f>
        <v>It's an option that we give them the year before too preparing them.</v>
      </c>
      <c r="H263" s="3" t="str">
        <f>IFERROR(__xludf.DUMMYFUNCTION("""COMPUTED_VALUE"""),"Prepare students with previous courses.")</f>
        <v>Prepare students with previous courses.</v>
      </c>
      <c r="I263" s="2" t="s">
        <v>1143</v>
      </c>
    </row>
    <row r="264">
      <c r="A264" s="50" t="s">
        <v>3630</v>
      </c>
      <c r="B264" s="2">
        <f>IFERROR(__xludf.DUMMYFUNCTION("""COMPUTED_VALUE"""),10.0)</f>
        <v>10</v>
      </c>
      <c r="C264" s="2">
        <f>IFERROR(__xludf.DUMMYFUNCTION("""COMPUTED_VALUE"""),27.0)</f>
        <v>27</v>
      </c>
      <c r="D264" s="2" t="str">
        <f>IFERROR(__xludf.DUMMYFUNCTION("""COMPUTED_VALUE"""),"R2 / R3")</f>
        <v>R2 / R3</v>
      </c>
      <c r="E264" s="2" t="str">
        <f>IFERROR(__xludf.DUMMYFUNCTION("""COMPUTED_VALUE"""),"Curriculum")</f>
        <v>Curriculum</v>
      </c>
      <c r="F264" s="2" t="str">
        <f>IFERROR(__xludf.DUMMYFUNCTION("""COMPUTED_VALUE"""),"recommendation")</f>
        <v>recommendation</v>
      </c>
      <c r="G264" s="3" t="str">
        <f>IFERROR(__xludf.DUMMYFUNCTION("""COMPUTED_VALUE"""),"we cannot make assumption on what they know. So we're trying to work without any assumption.
")</f>
        <v>we cannot make assumption on what they know. So we're trying to work without any assumption.
</v>
      </c>
      <c r="H264" s="3" t="str">
        <f>IFERROR(__xludf.DUMMYFUNCTION("""COMPUTED_VALUE"""),"Do not make assumption about the learning level of the students when you have students with different levels.")</f>
        <v>Do not make assumption about the learning level of the students when you have students with different levels.</v>
      </c>
      <c r="I264" s="2" t="s">
        <v>3631</v>
      </c>
    </row>
    <row r="265">
      <c r="A265" s="50" t="s">
        <v>3632</v>
      </c>
      <c r="B265" s="2">
        <f>IFERROR(__xludf.DUMMYFUNCTION("""COMPUTED_VALUE"""),10.0)</f>
        <v>10</v>
      </c>
      <c r="C265" s="2">
        <f>IFERROR(__xludf.DUMMYFUNCTION("""COMPUTED_VALUE"""),28.0)</f>
        <v>28</v>
      </c>
      <c r="D265" s="2" t="str">
        <f>IFERROR(__xludf.DUMMYFUNCTION("""COMPUTED_VALUE"""),"R1 / R3")</f>
        <v>R1 / R3</v>
      </c>
      <c r="E265" s="2" t="str">
        <f>IFERROR(__xludf.DUMMYFUNCTION("""COMPUTED_VALUE"""),"Other Challenge and Recommendation")</f>
        <v>Other Challenge and Recommendation</v>
      </c>
      <c r="F265" s="2" t="str">
        <f>IFERROR(__xludf.DUMMYFUNCTION("""COMPUTED_VALUE"""),"recommendation")</f>
        <v>recommendation</v>
      </c>
      <c r="G265" s="3" t="str">
        <f>IFERROR(__xludf.DUMMYFUNCTION("""COMPUTED_VALUE"""),"Now I realize every day that I need testing and continuous, I mean, Jenkins is my friend.")</f>
        <v>Now I realize every day that I need testing and continuous, I mean, Jenkins is my friend.</v>
      </c>
      <c r="H265" s="3" t="str">
        <f>IFERROR(__xludf.DUMMYFUNCTION("""COMPUTED_VALUE"""),"Jenkins can be chosen as DevOps tool.")</f>
        <v>Jenkins can be chosen as DevOps tool.</v>
      </c>
      <c r="I265" s="2" t="s">
        <v>2585</v>
      </c>
    </row>
    <row r="266">
      <c r="A266" s="50" t="s">
        <v>3633</v>
      </c>
      <c r="B266" s="2">
        <f>IFERROR(__xludf.DUMMYFUNCTION("""COMPUTED_VALUE"""),10.0)</f>
        <v>10</v>
      </c>
      <c r="C266" s="2">
        <f>IFERROR(__xludf.DUMMYFUNCTION("""COMPUTED_VALUE"""),28.0)</f>
        <v>28</v>
      </c>
      <c r="D266" s="2" t="str">
        <f>IFERROR(__xludf.DUMMYFUNCTION("""COMPUTED_VALUE"""),"R1 / R3")</f>
        <v>R1 / R3</v>
      </c>
      <c r="E266" s="2" t="str">
        <f>IFERROR(__xludf.DUMMYFUNCTION("""COMPUTED_VALUE"""),"Other Challenge and Recommendation")</f>
        <v>Other Challenge and Recommendation</v>
      </c>
      <c r="F266" s="2" t="str">
        <f>IFERROR(__xludf.DUMMYFUNCTION("""COMPUTED_VALUE"""),"recommendation")</f>
        <v>recommendation</v>
      </c>
      <c r="G266" s="3" t="str">
        <f>IFERROR(__xludf.DUMMYFUNCTION("""COMPUTED_VALUE"""),"we build Docker images. ")</f>
        <v>we build Docker images. </v>
      </c>
      <c r="H266" s="3" t="str">
        <f>IFERROR(__xludf.DUMMYFUNCTION("""COMPUTED_VALUE"""),"Docker can be chosen as DevOps tool.")</f>
        <v>Docker can be chosen as DevOps tool.</v>
      </c>
      <c r="I266" s="2" t="s">
        <v>3634</v>
      </c>
    </row>
    <row r="267">
      <c r="A267" s="50" t="s">
        <v>3635</v>
      </c>
      <c r="B267" s="2">
        <f>IFERROR(__xludf.DUMMYFUNCTION("""COMPUTED_VALUE"""),10.0)</f>
        <v>10</v>
      </c>
      <c r="C267" s="2">
        <f>IFERROR(__xludf.DUMMYFUNCTION("""COMPUTED_VALUE"""),28.0)</f>
        <v>28</v>
      </c>
      <c r="D267" s="2" t="str">
        <f>IFERROR(__xludf.DUMMYFUNCTION("""COMPUTED_VALUE"""),"R1 / R3")</f>
        <v>R1 / R3</v>
      </c>
      <c r="E267" s="2" t="str">
        <f>IFERROR(__xludf.DUMMYFUNCTION("""COMPUTED_VALUE"""),"Other Challenge and Recommendation")</f>
        <v>Other Challenge and Recommendation</v>
      </c>
      <c r="F267" s="2" t="str">
        <f>IFERROR(__xludf.DUMMYFUNCTION("""COMPUTED_VALUE"""),"recommendation")</f>
        <v>recommendation</v>
      </c>
      <c r="G267" s="3" t="str">
        <f>IFERROR(__xludf.DUMMYFUNCTION("""COMPUTED_VALUE"""),"We show them Kubernetes.")</f>
        <v>We show them Kubernetes.</v>
      </c>
      <c r="H267" s="3" t="str">
        <f>IFERROR(__xludf.DUMMYFUNCTION("""COMPUTED_VALUE"""),"Kubernetes can be chosen as DevOps tool.")</f>
        <v>Kubernetes can be chosen as DevOps tool.</v>
      </c>
      <c r="I267" s="2" t="s">
        <v>2589</v>
      </c>
    </row>
    <row r="268">
      <c r="A268" s="50" t="s">
        <v>3636</v>
      </c>
      <c r="B268" s="2">
        <f>IFERROR(__xludf.DUMMYFUNCTION("""COMPUTED_VALUE"""),11.0)</f>
        <v>11</v>
      </c>
      <c r="C268" s="2">
        <f>IFERROR(__xludf.DUMMYFUNCTION("""COMPUTED_VALUE"""),2.0)</f>
        <v>2</v>
      </c>
      <c r="D268" s="2" t="str">
        <f>IFERROR(__xludf.DUMMYFUNCTION("""COMPUTED_VALUE"""),"R2 / R3")</f>
        <v>R2 / R3</v>
      </c>
      <c r="E268" s="2" t="str">
        <f>IFERROR(__xludf.DUMMYFUNCTION("""COMPUTED_VALUE"""),"Educator Experience")</f>
        <v>Educator Experience</v>
      </c>
      <c r="F268" s="2" t="str">
        <f>IFERROR(__xludf.DUMMYFUNCTION("""COMPUTED_VALUE"""),"recommendation")</f>
        <v>recommendation</v>
      </c>
      <c r="G268" s="3" t="str">
        <f>IFERROR(__xludf.DUMMYFUNCTION("""COMPUTED_VALUE"""),"I covered it is a few lectures, like on, on DevOps and, um, which look at DevOps from a kind of generic perspective, like introducing the concept of DevOps and the challenges related to DevOps and, and, and so on. And then introducing them some of the bas"&amp;"ic tools, like for instance, so using things like continuous integration tools, like Jenkins SIM swollen. And, uh, so I tried to introduce, uh, between maybe spending about a couple of weeks doing that, like the course was about 12 weeks. And so in Zen Ap"&amp;"p there, I focus more on specialized issues. So we spent some time on performance and scalability testing and things like the good testing and so on.")</f>
        <v>I covered it is a few lectures, like on, on DevOps and, um, which look at DevOps from a kind of generic perspective, like introducing the concept of DevOps and the challenges related to DevOps and, and, and so on. And then introducing them some of the basic tools, like for instance, so using things like continuous integration tools, like Jenkins SIM swollen. And, uh, so I tried to introduce, uh, between maybe spending about a couple of weeks doing that, like the course was about 12 weeks. And so in Zen App there, I focus more on specialized issues. So we spent some time on performance and scalability testing and things like the good testing and so on.</v>
      </c>
      <c r="H268" s="3" t="str">
        <f>IFERROR(__xludf.DUMMYFUNCTION("""COMPUTED_VALUE"""),"Start with a generic perspective of DevOps, basic concepts, and after a few weeks start to focus on specialized issues")</f>
        <v>Start with a generic perspective of DevOps, basic concepts, and after a few weeks start to focus on specialized issues</v>
      </c>
      <c r="I268" s="2" t="s">
        <v>1149</v>
      </c>
    </row>
    <row r="269">
      <c r="A269" s="50" t="s">
        <v>3637</v>
      </c>
      <c r="B269" s="2">
        <f>IFERROR(__xludf.DUMMYFUNCTION("""COMPUTED_VALUE"""),11.0)</f>
        <v>11</v>
      </c>
      <c r="C269" s="2">
        <f>IFERROR(__xludf.DUMMYFUNCTION("""COMPUTED_VALUE"""),3.0)</f>
        <v>3</v>
      </c>
      <c r="D269" s="2" t="str">
        <f>IFERROR(__xludf.DUMMYFUNCTION("""COMPUTED_VALUE"""),"R1 / R3")</f>
        <v>R1 / R3</v>
      </c>
      <c r="E269" s="2" t="str">
        <f>IFERROR(__xludf.DUMMYFUNCTION("""COMPUTED_VALUE"""),"General Challenges and Recommendations")</f>
        <v>General Challenges and Recommendations</v>
      </c>
      <c r="F269" s="2" t="str">
        <f>IFERROR(__xludf.DUMMYFUNCTION("""COMPUTED_VALUE"""),"recommendation")</f>
        <v>recommendation</v>
      </c>
      <c r="G269" s="3" t="str">
        <f>IFERROR(__xludf.DUMMYFUNCTION("""COMPUTED_VALUE"""),"  I spent a couple of discussing about the concepts discussing about the issues.
")</f>
        <v>  I spent a couple of discussing about the concepts discussing about the issues.
</v>
      </c>
      <c r="H269" s="3" t="str">
        <f>IFERROR(__xludf.DUMMYFUNCTION("""COMPUTED_VALUE"""),"Promotes discussions about DevOps concepts and related issues.")</f>
        <v>Promotes discussions about DevOps concepts and related issues.</v>
      </c>
      <c r="I269" s="2" t="s">
        <v>3638</v>
      </c>
    </row>
    <row r="270">
      <c r="A270" s="50" t="s">
        <v>3639</v>
      </c>
      <c r="B270" s="2">
        <f>IFERROR(__xludf.DUMMYFUNCTION("""COMPUTED_VALUE"""),11.0)</f>
        <v>11</v>
      </c>
      <c r="C270" s="2">
        <f>IFERROR(__xludf.DUMMYFUNCTION("""COMPUTED_VALUE"""),4.0)</f>
        <v>4</v>
      </c>
      <c r="D270" s="2" t="str">
        <f>IFERROR(__xludf.DUMMYFUNCTION("""COMPUTED_VALUE"""),"R1 / R3")</f>
        <v>R1 / R3</v>
      </c>
      <c r="E270" s="2" t="str">
        <f>IFERROR(__xludf.DUMMYFUNCTION("""COMPUTED_VALUE"""),"General Challenges and Recommendations")</f>
        <v>General Challenges and Recommendations</v>
      </c>
      <c r="F270" s="2" t="str">
        <f>IFERROR(__xludf.DUMMYFUNCTION("""COMPUTED_VALUE"""),"recommendation")</f>
        <v>recommendation</v>
      </c>
      <c r="G270" s="3" t="str">
        <f>IFERROR(__xludf.DUMMYFUNCTION("""COMPUTED_VALUE"""),"So all of us, we covered a bit in really in the course, but also the, I mean, the lectures, but also they practice that in the lab.")</f>
        <v>So all of us, we covered a bit in really in the course, but also the, I mean, the lectures, but also they practice that in the lab.</v>
      </c>
      <c r="H270" s="3" t="str">
        <f>IFERROR(__xludf.DUMMYFUNCTION("""COMPUTED_VALUE"""),"Make use of labs and lectures.")</f>
        <v>Make use of labs and lectures.</v>
      </c>
      <c r="I270" s="2" t="s">
        <v>703</v>
      </c>
    </row>
    <row r="271">
      <c r="A271" s="50" t="s">
        <v>3640</v>
      </c>
      <c r="B271" s="2">
        <f>IFERROR(__xludf.DUMMYFUNCTION("""COMPUTED_VALUE"""),11.0)</f>
        <v>11</v>
      </c>
      <c r="C271" s="2">
        <f>IFERROR(__xludf.DUMMYFUNCTION("""COMPUTED_VALUE"""),4.0)</f>
        <v>4</v>
      </c>
      <c r="D271" s="2" t="str">
        <f>IFERROR(__xludf.DUMMYFUNCTION("""COMPUTED_VALUE"""),"R1 / R3")</f>
        <v>R1 / R3</v>
      </c>
      <c r="E271" s="2" t="str">
        <f>IFERROR(__xludf.DUMMYFUNCTION("""COMPUTED_VALUE"""),"General Challenges and Recommendations")</f>
        <v>General Challenges and Recommendations</v>
      </c>
      <c r="F271" s="2" t="str">
        <f>IFERROR(__xludf.DUMMYFUNCTION("""COMPUTED_VALUE"""),"recommendation")</f>
        <v>recommendation</v>
      </c>
      <c r="G271" s="3" t="str">
        <f>IFERROR(__xludf.DUMMYFUNCTION("""COMPUTED_VALUE"""),"what I do is that after introducing a concept and so on, I started really looking at very specific issues ... so in the lab we students learn, uh, in our, to be able to, for instance, to create a pipeline currency, DevOps pipeline, and, and, um, very, uh,"&amp;" set up A B tests, create test cases and do automated test, uh, test automation. ")</f>
        <v>what I do is that after introducing a concept and so on, I started really looking at very specific issues ... so in the lab we students learn, uh, in our, to be able to, for instance, to create a pipeline currency, DevOps pipeline, and, and, um, very, uh, set up A B tests, create test cases and do automated test, uh, test automation. </v>
      </c>
      <c r="H271" s="3" t="str">
        <f>IFERROR(__xludf.DUMMYFUNCTION("""COMPUTED_VALUE"""),"Introduce a concept and do labs with creating DevOps pipeline, setup A/B tests, and automated tests.")</f>
        <v>Introduce a concept and do labs with creating DevOps pipeline, setup A/B tests, and automated tests.</v>
      </c>
      <c r="I271" s="2" t="s">
        <v>3641</v>
      </c>
    </row>
    <row r="272">
      <c r="A272" s="50" t="s">
        <v>3642</v>
      </c>
      <c r="B272" s="2">
        <f>IFERROR(__xludf.DUMMYFUNCTION("""COMPUTED_VALUE"""),11.0)</f>
        <v>11</v>
      </c>
      <c r="C272" s="2">
        <f>IFERROR(__xludf.DUMMYFUNCTION("""COMPUTED_VALUE"""),5.0)</f>
        <v>5</v>
      </c>
      <c r="D272" s="2" t="str">
        <f>IFERROR(__xludf.DUMMYFUNCTION("""COMPUTED_VALUE"""),"R1 / R3")</f>
        <v>R1 / R3</v>
      </c>
      <c r="E272" s="2" t="str">
        <f>IFERROR(__xludf.DUMMYFUNCTION("""COMPUTED_VALUE"""),"General Challenges and Recommendations")</f>
        <v>General Challenges and Recommendations</v>
      </c>
      <c r="F272" s="2" t="str">
        <f>IFERROR(__xludf.DUMMYFUNCTION("""COMPUTED_VALUE"""),"recommendation")</f>
        <v>recommendation</v>
      </c>
      <c r="G272" s="3" t="str">
        <f>IFERROR(__xludf.DUMMYFUNCTION("""COMPUTED_VALUE"""),"The lab is like in the lab, because it's a very practical ...   we've implemented an application, uh, a web application, which, uh, in, currently we are using the application we use is a banking application. It is the online banking where people can go in"&amp;" and create an account or transfer between accounts and do all those kind of thing.")</f>
        <v>The lab is like in the lab, because it's a very practical ...   we've implemented an application, uh, a web application, which, uh, in, currently we are using the application we use is a banking application. It is the online banking where people can go in and create an account or transfer between accounts and do all those kind of thing.</v>
      </c>
      <c r="H272" s="3" t="str">
        <f>IFERROR(__xludf.DUMMYFUNCTION("""COMPUTED_VALUE"""),"Provide sample application in the labs.")</f>
        <v>Provide sample application in the labs.</v>
      </c>
      <c r="I272" s="2" t="s">
        <v>2599</v>
      </c>
    </row>
    <row r="273">
      <c r="A273" s="50" t="s">
        <v>3643</v>
      </c>
      <c r="B273" s="2">
        <f>IFERROR(__xludf.DUMMYFUNCTION("""COMPUTED_VALUE"""),11.0)</f>
        <v>11</v>
      </c>
      <c r="C273" s="2">
        <f>IFERROR(__xludf.DUMMYFUNCTION("""COMPUTED_VALUE"""),5.0)</f>
        <v>5</v>
      </c>
      <c r="D273" s="2" t="str">
        <f>IFERROR(__xludf.DUMMYFUNCTION("""COMPUTED_VALUE"""),"R1 / R3")</f>
        <v>R1 / R3</v>
      </c>
      <c r="E273" s="2" t="str">
        <f>IFERROR(__xludf.DUMMYFUNCTION("""COMPUTED_VALUE"""),"General Challenges and Recommendations")</f>
        <v>General Challenges and Recommendations</v>
      </c>
      <c r="F273" s="2" t="str">
        <f>IFERROR(__xludf.DUMMYFUNCTION("""COMPUTED_VALUE"""),"recommendation")</f>
        <v>recommendation</v>
      </c>
      <c r="G273" s="3" t="str">
        <f>IFERROR(__xludf.DUMMYFUNCTION("""COMPUTED_VALUE"""),"So we employ someone in our team, a couple of people who work on implementing that, and we created some issues in the application, like some bugs. ")</f>
        <v>So we employ someone in our team, a couple of people who work on implementing that, and we created some issues in the application, like some bugs. </v>
      </c>
      <c r="H273" s="3" t="str">
        <f>IFERROR(__xludf.DUMMYFUNCTION("""COMPUTED_VALUE"""),"Try to simulate a real scenario employing someone in the group to insert issues and bugs in students project.")</f>
        <v>Try to simulate a real scenario employing someone in the group to insert issues and bugs in students project.</v>
      </c>
      <c r="I273" s="2" t="s">
        <v>2600</v>
      </c>
    </row>
    <row r="274">
      <c r="A274" s="50" t="s">
        <v>3644</v>
      </c>
      <c r="B274" s="2">
        <f>IFERROR(__xludf.DUMMYFUNCTION("""COMPUTED_VALUE"""),11.0)</f>
        <v>11</v>
      </c>
      <c r="C274" s="2">
        <f>IFERROR(__xludf.DUMMYFUNCTION("""COMPUTED_VALUE"""),5.0)</f>
        <v>5</v>
      </c>
      <c r="D274" s="2" t="str">
        <f>IFERROR(__xludf.DUMMYFUNCTION("""COMPUTED_VALUE"""),"R1 / R3")</f>
        <v>R1 / R3</v>
      </c>
      <c r="E274" s="2" t="str">
        <f>IFERROR(__xludf.DUMMYFUNCTION("""COMPUTED_VALUE"""),"General Challenges and Recommendations")</f>
        <v>General Challenges and Recommendations</v>
      </c>
      <c r="F274" s="2" t="str">
        <f>IFERROR(__xludf.DUMMYFUNCTION("""COMPUTED_VALUE"""),"recommendation")</f>
        <v>recommendation</v>
      </c>
      <c r="G274" s="3" t="str">
        <f>IFERROR(__xludf.DUMMYFUNCTION("""COMPUTED_VALUE"""),"the students have to do in the projects is to start by coming up with the requirements of the obvious application, and then start setting up their own environment and provide some additional functionalities that we want to implement. ")</f>
        <v>the students have to do in the projects is to start by coming up with the requirements of the obvious application, and then start setting up their own environment and provide some additional functionalities that we want to implement. </v>
      </c>
      <c r="H274" s="3" t="str">
        <f>IFERROR(__xludf.DUMMYFUNCTION("""COMPUTED_VALUE"""),"Students start setting up their own DevOps environment and provide additional feature using simple application in the project.")</f>
        <v>Students start setting up their own DevOps environment and provide additional feature using simple application in the project.</v>
      </c>
      <c r="I274" s="2" t="s">
        <v>3645</v>
      </c>
    </row>
    <row r="275">
      <c r="A275" s="50" t="s">
        <v>3646</v>
      </c>
      <c r="B275" s="2">
        <f>IFERROR(__xludf.DUMMYFUNCTION("""COMPUTED_VALUE"""),11.0)</f>
        <v>11</v>
      </c>
      <c r="C275" s="2">
        <f>IFERROR(__xludf.DUMMYFUNCTION("""COMPUTED_VALUE"""),7.0)</f>
        <v>7</v>
      </c>
      <c r="D275" s="2" t="str">
        <f>IFERROR(__xludf.DUMMYFUNCTION("""COMPUTED_VALUE"""),"R2 / R3")</f>
        <v>R2 / R3</v>
      </c>
      <c r="E275" s="2" t="str">
        <f>IFERROR(__xludf.DUMMYFUNCTION("""COMPUTED_VALUE"""),"Environment Setup")</f>
        <v>Environment Setup</v>
      </c>
      <c r="F275" s="2" t="str">
        <f>IFERROR(__xludf.DUMMYFUNCTION("""COMPUTED_VALUE"""),"recommendation")</f>
        <v>recommendation</v>
      </c>
      <c r="G275" s="3" t="str">
        <f>IFERROR(__xludf.DUMMYFUNCTION("""COMPUTED_VALUE"""),"I put them by a team of four, six per group, and then we work together and, and that's good also because it may be working in a team. ")</f>
        <v>I put them by a team of four, six per group, and then we work together and, and that's good also because it may be working in a team. </v>
      </c>
      <c r="H275" s="3" t="str">
        <f>IFERROR(__xludf.DUMMYFUNCTION("""COMPUTED_VALUE"""),"Put students to work by a team of four to six per group.")</f>
        <v>Put students to work by a team of four to six per group.</v>
      </c>
      <c r="I275" s="2" t="s">
        <v>1713</v>
      </c>
    </row>
    <row r="276">
      <c r="A276" s="50" t="s">
        <v>3647</v>
      </c>
      <c r="B276" s="2">
        <f>IFERROR(__xludf.DUMMYFUNCTION("""COMPUTED_VALUE"""),11.0)</f>
        <v>11</v>
      </c>
      <c r="C276" s="2">
        <f>IFERROR(__xludf.DUMMYFUNCTION("""COMPUTED_VALUE"""),7.0)</f>
        <v>7</v>
      </c>
      <c r="D276" s="2" t="str">
        <f>IFERROR(__xludf.DUMMYFUNCTION("""COMPUTED_VALUE"""),"R2 / R3")</f>
        <v>R2 / R3</v>
      </c>
      <c r="E276" s="2" t="str">
        <f>IFERROR(__xludf.DUMMYFUNCTION("""COMPUTED_VALUE"""),"Environment Setup")</f>
        <v>Environment Setup</v>
      </c>
      <c r="F276" s="2" t="str">
        <f>IFERROR(__xludf.DUMMYFUNCTION("""COMPUTED_VALUE"""),"recommendation")</f>
        <v>recommendation</v>
      </c>
      <c r="G276" s="3" t="str">
        <f>IFERROR(__xludf.DUMMYFUNCTION("""COMPUTED_VALUE"""),"Also making the project interesting is important because it, you can, it's very easy when you are teaching to just take a very small project, which is not very, uh, challenging in all with students.
")</f>
        <v>Also making the project interesting is important because it, you can, it's very easy when you are teaching to just take a very small project, which is not very, uh, challenging in all with students.
</v>
      </c>
      <c r="H276" s="3" t="str">
        <f>IFERROR(__xludf.DUMMYFUNCTION("""COMPUTED_VALUE"""),"The project of the class should not be very small and must be challenging.")</f>
        <v>The project of the class should not be very small and must be challenging.</v>
      </c>
      <c r="I276" s="2" t="s">
        <v>3648</v>
      </c>
    </row>
    <row r="277">
      <c r="A277" s="50" t="s">
        <v>3649</v>
      </c>
      <c r="B277" s="2">
        <f>IFERROR(__xludf.DUMMYFUNCTION("""COMPUTED_VALUE"""),11.0)</f>
        <v>11</v>
      </c>
      <c r="C277" s="2">
        <f>IFERROR(__xludf.DUMMYFUNCTION("""COMPUTED_VALUE"""),8.0)</f>
        <v>8</v>
      </c>
      <c r="D277" s="2" t="str">
        <f>IFERROR(__xludf.DUMMYFUNCTION("""COMPUTED_VALUE"""),"R1 / R3")</f>
        <v>R1 / R3</v>
      </c>
      <c r="E277" s="2" t="str">
        <f>IFERROR(__xludf.DUMMYFUNCTION("""COMPUTED_VALUE"""),"Environment Setup")</f>
        <v>Environment Setup</v>
      </c>
      <c r="F277" s="2" t="str">
        <f>IFERROR(__xludf.DUMMYFUNCTION("""COMPUTED_VALUE"""),"recommendation")</f>
        <v>recommendation</v>
      </c>
      <c r="G277" s="3" t="str">
        <f>IFERROR(__xludf.DUMMYFUNCTION("""COMPUTED_VALUE"""),"for exam can be to use an open source application that we can use")</f>
        <v>for exam can be to use an open source application that we can use</v>
      </c>
      <c r="H277" s="3" t="str">
        <f>IFERROR(__xludf.DUMMYFUNCTION("""COMPUTED_VALUE"""),"An open source application can be used for the exam.")</f>
        <v>An open source application can be used for the exam.</v>
      </c>
      <c r="I277" s="2" t="s">
        <v>3650</v>
      </c>
    </row>
    <row r="278">
      <c r="A278" s="50" t="s">
        <v>3651</v>
      </c>
      <c r="B278" s="2">
        <f>IFERROR(__xludf.DUMMYFUNCTION("""COMPUTED_VALUE"""),11.0)</f>
        <v>11</v>
      </c>
      <c r="C278" s="2">
        <f>IFERROR(__xludf.DUMMYFUNCTION("""COMPUTED_VALUE"""),8.0)</f>
        <v>8</v>
      </c>
      <c r="D278" s="2" t="str">
        <f>IFERROR(__xludf.DUMMYFUNCTION("""COMPUTED_VALUE"""),"R1 / R3")</f>
        <v>R1 / R3</v>
      </c>
      <c r="E278" s="2" t="str">
        <f>IFERROR(__xludf.DUMMYFUNCTION("""COMPUTED_VALUE"""),"Environment Setup")</f>
        <v>Environment Setup</v>
      </c>
      <c r="F278" s="2" t="str">
        <f>IFERROR(__xludf.DUMMYFUNCTION("""COMPUTED_VALUE"""),"recommendation")</f>
        <v>recommendation</v>
      </c>
      <c r="G278" s="3" t="str">
        <f>IFERROR(__xludf.DUMMYFUNCTION("""COMPUTED_VALUE""")," I try to use as much as possible with tools that people use in industry and companies.")</f>
        <v> I try to use as much as possible with tools that people use in industry and companies.</v>
      </c>
      <c r="H278" s="3" t="str">
        <f>IFERROR(__xludf.DUMMYFUNCTION("""COMPUTED_VALUE"""),"Use as much as possible relevant industry tools.")</f>
        <v>Use as much as possible relevant industry tools.</v>
      </c>
      <c r="I278" s="2" t="s">
        <v>1717</v>
      </c>
    </row>
    <row r="279">
      <c r="A279" s="50" t="s">
        <v>3652</v>
      </c>
      <c r="B279" s="2">
        <f>IFERROR(__xludf.DUMMYFUNCTION("""COMPUTED_VALUE"""),11.0)</f>
        <v>11</v>
      </c>
      <c r="C279" s="2">
        <f>IFERROR(__xludf.DUMMYFUNCTION("""COMPUTED_VALUE"""),8.0)</f>
        <v>8</v>
      </c>
      <c r="D279" s="2" t="str">
        <f>IFERROR(__xludf.DUMMYFUNCTION("""COMPUTED_VALUE"""),"R1 / R3")</f>
        <v>R1 / R3</v>
      </c>
      <c r="E279" s="2" t="str">
        <f>IFERROR(__xludf.DUMMYFUNCTION("""COMPUTED_VALUE"""),"Environment Setup")</f>
        <v>Environment Setup</v>
      </c>
      <c r="F279" s="2" t="str">
        <f>IFERROR(__xludf.DUMMYFUNCTION("""COMPUTED_VALUE"""),"recommendation")</f>
        <v>recommendation</v>
      </c>
      <c r="G279" s="3" t="str">
        <f>IFERROR(__xludf.DUMMYFUNCTION("""COMPUTED_VALUE"""),"And, and, uh, so in terms of the continuous integration server, and there are many different services available, but can we use Jenkins because it is a, it is free and, and a lot of companies are using, but there are some other options that can be used.")</f>
        <v>And, and, uh, so in terms of the continuous integration server, and there are many different services available, but can we use Jenkins because it is a, it is free and, and a lot of companies are using, but there are some other options that can be used.</v>
      </c>
      <c r="H279" s="3" t="str">
        <f>IFERROR(__xludf.DUMMYFUNCTION("""COMPUTED_VALUE"""),"Jenkins can be use as continuous integration tool because it is free and lot of companies use it.")</f>
        <v>Jenkins can be use as continuous integration tool because it is free and lot of companies use it.</v>
      </c>
      <c r="I279" s="2" t="s">
        <v>717</v>
      </c>
    </row>
    <row r="280">
      <c r="A280" s="50" t="s">
        <v>3653</v>
      </c>
      <c r="B280" s="2">
        <f>IFERROR(__xludf.DUMMYFUNCTION("""COMPUTED_VALUE"""),11.0)</f>
        <v>11</v>
      </c>
      <c r="C280" s="2">
        <f>IFERROR(__xludf.DUMMYFUNCTION("""COMPUTED_VALUE"""),9.0)</f>
        <v>9</v>
      </c>
      <c r="D280" s="2" t="str">
        <f>IFERROR(__xludf.DUMMYFUNCTION("""COMPUTED_VALUE"""),"R1 / R3")</f>
        <v>R1 / R3</v>
      </c>
      <c r="E280" s="2" t="str">
        <f>IFERROR(__xludf.DUMMYFUNCTION("""COMPUTED_VALUE"""),"Environment Setup")</f>
        <v>Environment Setup</v>
      </c>
      <c r="F280" s="2" t="str">
        <f>IFERROR(__xludf.DUMMYFUNCTION("""COMPUTED_VALUE"""),"recommendation")</f>
        <v>recommendation</v>
      </c>
      <c r="G280" s="3" t="str">
        <f>IFERROR(__xludf.DUMMYFUNCTION("""COMPUTED_VALUE"""),"we use Selenium for test automation")</f>
        <v>we use Selenium for test automation</v>
      </c>
      <c r="H280" s="3" t="str">
        <f>IFERROR(__xludf.DUMMYFUNCTION("""COMPUTED_VALUE"""),"Use Selenium for test automation.")</f>
        <v>Use Selenium for test automation.</v>
      </c>
      <c r="I280" s="2" t="s">
        <v>3654</v>
      </c>
    </row>
    <row r="281">
      <c r="A281" s="50" t="s">
        <v>3655</v>
      </c>
      <c r="B281" s="2">
        <f>IFERROR(__xludf.DUMMYFUNCTION("""COMPUTED_VALUE"""),11.0)</f>
        <v>11</v>
      </c>
      <c r="C281" s="2">
        <f>IFERROR(__xludf.DUMMYFUNCTION("""COMPUTED_VALUE"""),9.0)</f>
        <v>9</v>
      </c>
      <c r="D281" s="2" t="str">
        <f>IFERROR(__xludf.DUMMYFUNCTION("""COMPUTED_VALUE"""),"R1 / R3")</f>
        <v>R1 / R3</v>
      </c>
      <c r="E281" s="2" t="str">
        <f>IFERROR(__xludf.DUMMYFUNCTION("""COMPUTED_VALUE"""),"Environment Setup")</f>
        <v>Environment Setup</v>
      </c>
      <c r="F281" s="2" t="str">
        <f>IFERROR(__xludf.DUMMYFUNCTION("""COMPUTED_VALUE"""),"recommendation")</f>
        <v>recommendation</v>
      </c>
      <c r="G281" s="3" t="str">
        <f>IFERROR(__xludf.DUMMYFUNCTION("""COMPUTED_VALUE"""),"we use also SonarQube to help us on the automation")</f>
        <v>we use also SonarQube to help us on the automation</v>
      </c>
      <c r="H281" s="3" t="str">
        <f>IFERROR(__xludf.DUMMYFUNCTION("""COMPUTED_VALUE"""),"Use SonarQube to help on the automation.")</f>
        <v>Use SonarQube to help on the automation.</v>
      </c>
      <c r="I281" s="2" t="s">
        <v>3656</v>
      </c>
    </row>
    <row r="282">
      <c r="A282" s="50" t="s">
        <v>3657</v>
      </c>
      <c r="B282" s="2">
        <f>IFERROR(__xludf.DUMMYFUNCTION("""COMPUTED_VALUE"""),11.0)</f>
        <v>11</v>
      </c>
      <c r="C282" s="2">
        <f>IFERROR(__xludf.DUMMYFUNCTION("""COMPUTED_VALUE"""),9.0)</f>
        <v>9</v>
      </c>
      <c r="D282" s="2" t="str">
        <f>IFERROR(__xludf.DUMMYFUNCTION("""COMPUTED_VALUE"""),"R1 / R3")</f>
        <v>R1 / R3</v>
      </c>
      <c r="E282" s="2" t="str">
        <f>IFERROR(__xludf.DUMMYFUNCTION("""COMPUTED_VALUE"""),"Environment Setup")</f>
        <v>Environment Setup</v>
      </c>
      <c r="F282" s="2" t="str">
        <f>IFERROR(__xludf.DUMMYFUNCTION("""COMPUTED_VALUE"""),"recommendation")</f>
        <v>recommendation</v>
      </c>
      <c r="G282" s="3" t="str">
        <f>IFERROR(__xludf.DUMMYFUNCTION("""COMPUTED_VALUE"""),"for performance testing we use JMeter")</f>
        <v>for performance testing we use JMeter</v>
      </c>
      <c r="H282" s="3" t="str">
        <f>IFERROR(__xludf.DUMMYFUNCTION("""COMPUTED_VALUE"""),"Use JMeter for performance testing.")</f>
        <v>Use JMeter for performance testing.</v>
      </c>
      <c r="I282" s="2" t="s">
        <v>3658</v>
      </c>
    </row>
    <row r="283">
      <c r="A283" s="50" t="s">
        <v>3659</v>
      </c>
      <c r="B283" s="2">
        <f>IFERROR(__xludf.DUMMYFUNCTION("""COMPUTED_VALUE"""),11.0)</f>
        <v>11</v>
      </c>
      <c r="C283" s="2">
        <f>IFERROR(__xludf.DUMMYFUNCTION("""COMPUTED_VALUE"""),9.0)</f>
        <v>9</v>
      </c>
      <c r="D283" s="2" t="str">
        <f>IFERROR(__xludf.DUMMYFUNCTION("""COMPUTED_VALUE"""),"R1 / R3")</f>
        <v>R1 / R3</v>
      </c>
      <c r="E283" s="2" t="str">
        <f>IFERROR(__xludf.DUMMYFUNCTION("""COMPUTED_VALUE"""),"Environment Setup")</f>
        <v>Environment Setup</v>
      </c>
      <c r="F283" s="2" t="str">
        <f>IFERROR(__xludf.DUMMYFUNCTION("""COMPUTED_VALUE"""),"recommendation")</f>
        <v>recommendation</v>
      </c>
      <c r="G283" s="2" t="str">
        <f>IFERROR(__xludf.DUMMYFUNCTION("""COMPUTED_VALUE"""),"we also security platform like, uh, Zap")</f>
        <v>we also security platform like, uh, Zap</v>
      </c>
      <c r="H283" s="2" t="str">
        <f>IFERROR(__xludf.DUMMYFUNCTION("""COMPUTED_VALUE"""),"Use OWASP Zap as security platform.")</f>
        <v>Use OWASP Zap as security platform.</v>
      </c>
      <c r="I283" s="2" t="s">
        <v>3660</v>
      </c>
    </row>
    <row r="284">
      <c r="A284" s="50" t="s">
        <v>3661</v>
      </c>
      <c r="B284" s="2">
        <f>IFERROR(__xludf.DUMMYFUNCTION("""COMPUTED_VALUE"""),11.0)</f>
        <v>11</v>
      </c>
      <c r="C284" s="2">
        <f>IFERROR(__xludf.DUMMYFUNCTION("""COMPUTED_VALUE"""),10.0)</f>
        <v>10</v>
      </c>
      <c r="D284" s="2" t="str">
        <f>IFERROR(__xludf.DUMMYFUNCTION("""COMPUTED_VALUE"""),"R1 / R3")</f>
        <v>R1 / R3</v>
      </c>
      <c r="E284" s="2" t="str">
        <f>IFERROR(__xludf.DUMMYFUNCTION("""COMPUTED_VALUE"""),"Tool / Technology")</f>
        <v>Tool / Technology</v>
      </c>
      <c r="F284" s="2" t="str">
        <f>IFERROR(__xludf.DUMMYFUNCTION("""COMPUTED_VALUE"""),"recommendation")</f>
        <v>recommendation</v>
      </c>
      <c r="G284" s="2" t="str">
        <f>IFERROR(__xludf.DUMMYFUNCTION("""COMPUTED_VALUE"""),"So in terms of the tools, I feel better. I think one of the good aspect in DevOps is that there are a lot of tools [...] DevOps tools are available and where a lot of them are free and some of them are conscious of those. So a lot of them are free. And, a"&amp;"nd then, so, so far, I think it has been good. ")</f>
        <v>So in terms of the tools, I feel better. I think one of the good aspect in DevOps is that there are a lot of tools [...] DevOps tools are available and where a lot of them are free and some of them are conscious of those. So a lot of them are free. And, and then, so, so far, I think it has been good. </v>
      </c>
      <c r="H284" s="2" t="str">
        <f>IFERROR(__xludf.DUMMYFUNCTION("""COMPUTED_VALUE"""),"There are many free DevOps tools available.")</f>
        <v>There are many free DevOps tools available.</v>
      </c>
      <c r="I284" s="2" t="s">
        <v>2612</v>
      </c>
    </row>
    <row r="285">
      <c r="A285" s="50" t="s">
        <v>3662</v>
      </c>
      <c r="B285" s="2">
        <f>IFERROR(__xludf.DUMMYFUNCTION("""COMPUTED_VALUE"""),11.0)</f>
        <v>11</v>
      </c>
      <c r="C285" s="2">
        <f>IFERROR(__xludf.DUMMYFUNCTION("""COMPUTED_VALUE"""),11.0)</f>
        <v>11</v>
      </c>
      <c r="D285" s="2" t="str">
        <f>IFERROR(__xludf.DUMMYFUNCTION("""COMPUTED_VALUE"""),"R1 / R2")</f>
        <v>R1 / R2</v>
      </c>
      <c r="E285" s="2" t="str">
        <f>IFERROR(__xludf.DUMMYFUNCTION("""COMPUTED_VALUE"""),"Tool / Technology")</f>
        <v>Tool / Technology</v>
      </c>
      <c r="F285" s="2" t="str">
        <f>IFERROR(__xludf.DUMMYFUNCTION("""COMPUTED_VALUE"""),"recommendation")</f>
        <v>recommendation</v>
      </c>
      <c r="G285" s="3" t="str">
        <f>IFERROR(__xludf.DUMMYFUNCTION("""COMPUTED_VALUE"""),"We use a very specific language. This is to just make it easy. I mean, sometimes we give it a bit too flexible. So right now we use a Java and Javascript because we are targeting web application. But, uh, when we students are implementing, uh, new feature"&amp;"s, so we give them the flexibility. We say, okay, parents, if you want to implement in Python, you can do it as long as you can wrap it in, uh, integrated in the new code")</f>
        <v>We use a very specific language. This is to just make it easy. I mean, sometimes we give it a bit too flexible. So right now we use a Java and Javascript because we are targeting web application. But, uh, when we students are implementing, uh, new features, so we give them the flexibility. We say, okay, parents, if you want to implement in Python, you can do it as long as you can wrap it in, uh, integrated in the new code</v>
      </c>
      <c r="H285" s="3" t="str">
        <f>IFERROR(__xludf.DUMMYFUNCTION("""COMPUTED_VALUE"""),"It is important to give flexibility to students to develop their solution although some things are determined")</f>
        <v>It is important to give flexibility to students to develop their solution although some things are determined</v>
      </c>
      <c r="I285" s="2" t="s">
        <v>3663</v>
      </c>
    </row>
    <row r="286">
      <c r="A286" s="50" t="s">
        <v>3664</v>
      </c>
      <c r="B286" s="2">
        <f>IFERROR(__xludf.DUMMYFUNCTION("""COMPUTED_VALUE"""),11.0)</f>
        <v>11</v>
      </c>
      <c r="C286" s="2">
        <f>IFERROR(__xludf.DUMMYFUNCTION("""COMPUTED_VALUE"""),11.0)</f>
        <v>11</v>
      </c>
      <c r="D286" s="2" t="str">
        <f>IFERROR(__xludf.DUMMYFUNCTION("""COMPUTED_VALUE"""),"R1 / R2")</f>
        <v>R1 / R2</v>
      </c>
      <c r="E286" s="2" t="str">
        <f>IFERROR(__xludf.DUMMYFUNCTION("""COMPUTED_VALUE"""),"Tool / Technology")</f>
        <v>Tool / Technology</v>
      </c>
      <c r="F286" s="2" t="str">
        <f>IFERROR(__xludf.DUMMYFUNCTION("""COMPUTED_VALUE"""),"recommendation")</f>
        <v>recommendation</v>
      </c>
      <c r="G286" s="3" t="str">
        <f>IFERROR(__xludf.DUMMYFUNCTION("""COMPUTED_VALUE""")," We give some kind of rough summary of what the application is supposed to do.")</f>
        <v> We give some kind of rough summary of what the application is supposed to do.</v>
      </c>
      <c r="H286" s="3" t="str">
        <f>IFERROR(__xludf.DUMMYFUNCTION("""COMPUTED_VALUE"""),"Give students a rough summary of what their application are supposed to do")</f>
        <v>Give students a rough summary of what their application are supposed to do</v>
      </c>
      <c r="I286" s="2" t="s">
        <v>1163</v>
      </c>
    </row>
    <row r="287">
      <c r="A287" s="50" t="s">
        <v>3665</v>
      </c>
      <c r="B287" s="2">
        <f>IFERROR(__xludf.DUMMYFUNCTION("""COMPUTED_VALUE"""),11.0)</f>
        <v>11</v>
      </c>
      <c r="C287" s="2">
        <f>IFERROR(__xludf.DUMMYFUNCTION("""COMPUTED_VALUE"""),14.0)</f>
        <v>14</v>
      </c>
      <c r="D287" s="2" t="str">
        <f>IFERROR(__xludf.DUMMYFUNCTION("""COMPUTED_VALUE"""),"R1 / R3")</f>
        <v>R1 / R3</v>
      </c>
      <c r="E287" s="2" t="str">
        <f>IFERROR(__xludf.DUMMYFUNCTION("""COMPUTED_VALUE"""),"Class Preparation")</f>
        <v>Class Preparation</v>
      </c>
      <c r="F287" s="2" t="str">
        <f>IFERROR(__xludf.DUMMYFUNCTION("""COMPUTED_VALUE"""),"recommendation")</f>
        <v>recommendation</v>
      </c>
      <c r="G287" s="3" t="str">
        <f>IFERROR(__xludf.DUMMYFUNCTION("""COMPUTED_VALUE"""),"Quite often, what we do is have someone in our team to implement the application. ")</f>
        <v>Quite often, what we do is have someone in our team to implement the application. </v>
      </c>
      <c r="H287" s="3" t="str">
        <f>IFERROR(__xludf.DUMMYFUNCTION("""COMPUTED_VALUE"""),"Someone from teacher staff implements the sample application.")</f>
        <v>Someone from teacher staff implements the sample application.</v>
      </c>
      <c r="I287" s="2" t="s">
        <v>1737</v>
      </c>
    </row>
    <row r="288">
      <c r="A288" s="50" t="s">
        <v>3666</v>
      </c>
      <c r="B288" s="2">
        <f>IFERROR(__xludf.DUMMYFUNCTION("""COMPUTED_VALUE"""),11.0)</f>
        <v>11</v>
      </c>
      <c r="C288" s="2">
        <f>IFERROR(__xludf.DUMMYFUNCTION("""COMPUTED_VALUE"""),16.0)</f>
        <v>16</v>
      </c>
      <c r="D288" s="2" t="str">
        <f>IFERROR(__xludf.DUMMYFUNCTION("""COMPUTED_VALUE"""),"R1 / R2")</f>
        <v>R1 / R2</v>
      </c>
      <c r="E288" s="2" t="str">
        <f>IFERROR(__xludf.DUMMYFUNCTION("""COMPUTED_VALUE"""),"Pedagogy")</f>
        <v>Pedagogy</v>
      </c>
      <c r="F288" s="2" t="str">
        <f>IFERROR(__xludf.DUMMYFUNCTION("""COMPUTED_VALUE"""),"recommendation")</f>
        <v>recommendation</v>
      </c>
      <c r="G288" s="3" t="str">
        <f>IFERROR(__xludf.DUMMYFUNCTION("""COMPUTED_VALUE"""),"so in the course I split, but so about 80% of presentation is just a regular, uh, concepts and so on and about 20% is about concrete applications ")</f>
        <v>so in the course I split, but so about 80% of presentation is just a regular, uh, concepts and so on and about 20% is about concrete applications </v>
      </c>
      <c r="H288" s="3" t="str">
        <f>IFERROR(__xludf.DUMMYFUNCTION("""COMPUTED_VALUE"""),"Divide the course into 80% of concepts and 20% of applications")</f>
        <v>Divide the course into 80% of concepts and 20% of applications</v>
      </c>
      <c r="I288" s="2" t="s">
        <v>3667</v>
      </c>
    </row>
    <row r="289">
      <c r="A289" s="50" t="s">
        <v>3668</v>
      </c>
      <c r="B289" s="2">
        <f>IFERROR(__xludf.DUMMYFUNCTION("""COMPUTED_VALUE"""),11.0)</f>
        <v>11</v>
      </c>
      <c r="C289" s="2">
        <f>IFERROR(__xludf.DUMMYFUNCTION("""COMPUTED_VALUE"""),17.0)</f>
        <v>17</v>
      </c>
      <c r="D289" s="2" t="str">
        <f>IFERROR(__xludf.DUMMYFUNCTION("""COMPUTED_VALUE"""),"R2 / R3")</f>
        <v>R2 / R3</v>
      </c>
      <c r="E289" s="2" t="str">
        <f>IFERROR(__xludf.DUMMYFUNCTION("""COMPUTED_VALUE"""),"Assessment")</f>
        <v>Assessment</v>
      </c>
      <c r="F289" s="2" t="str">
        <f>IFERROR(__xludf.DUMMYFUNCTION("""COMPUTED_VALUE"""),"recommendation")</f>
        <v>recommendation</v>
      </c>
      <c r="G289" s="3" t="str">
        <f>IFERROR(__xludf.DUMMYFUNCTION("""COMPUTED_VALUE"""),"We presented as a lab project [...] So the students start initially by defining the requirements and then after they start a secondary pipeline, and then they do at least a couple of weeks iterations cycle and develop cycle. And then after they go to do p"&amp;"erformance testing to do a security testing and all those kinds of things, and for each of these deliverables, we submit something, every report. And, and, uh, so that's very easy to map because it's a very practical. ")</f>
        <v>We presented as a lab project [...] So the students start initially by defining the requirements and then after they start a secondary pipeline, and then they do at least a couple of weeks iterations cycle and develop cycle. And then after they go to do performance testing to do a security testing and all those kinds of things, and for each of these deliverables, we submit something, every report. And, and, uh, so that's very easy to map because it's a very practical. </v>
      </c>
      <c r="H289" s="3" t="str">
        <f>IFERROR(__xludf.DUMMYFUNCTION("""COMPUTED_VALUE"""),"We presented as a lab project with five deliverables. The students start by defining the requirements and then after they start a secondary pipeline, and then they do at least a couple of weeks iterations cycle and develop cycle. And then after they go to"&amp;" do performance testing to do a security testing, and for each of these deliverables, we submit something, every report.")</f>
        <v>We presented as a lab project with five deliverables. The students start by defining the requirements and then after they start a secondary pipeline, and then they do at least a couple of weeks iterations cycle and develop cycle. And then after they go to do performance testing to do a security testing, and for each of these deliverables, we submit something, every report.</v>
      </c>
      <c r="I289" s="2" t="s">
        <v>1169</v>
      </c>
    </row>
    <row r="290">
      <c r="A290" s="50" t="s">
        <v>3669</v>
      </c>
      <c r="B290" s="2">
        <f>IFERROR(__xludf.DUMMYFUNCTION("""COMPUTED_VALUE"""),11.0)</f>
        <v>11</v>
      </c>
      <c r="C290" s="2">
        <f>IFERROR(__xludf.DUMMYFUNCTION("""COMPUTED_VALUE"""),18.0)</f>
        <v>18</v>
      </c>
      <c r="D290" s="2" t="str">
        <f>IFERROR(__xludf.DUMMYFUNCTION("""COMPUTED_VALUE"""),"R1 / R3")</f>
        <v>R1 / R3</v>
      </c>
      <c r="E290" s="2" t="str">
        <f>IFERROR(__xludf.DUMMYFUNCTION("""COMPUTED_VALUE"""),"Assessment")</f>
        <v>Assessment</v>
      </c>
      <c r="F290" s="2" t="str">
        <f>IFERROR(__xludf.DUMMYFUNCTION("""COMPUTED_VALUE"""),"recommendation")</f>
        <v>recommendation</v>
      </c>
      <c r="G290" s="3" t="str">
        <f>IFERROR(__xludf.DUMMYFUNCTION("""COMPUTED_VALUE"""),"most of the time to give a problem solving questions where I put a problem and say, okay, and push a student to critically think. ... , I put a problem and then we'll come up with the solutions for the problem. And I haven't been able to find a good way t"&amp;"o do that with DevOps, in, uh, in terms of assessment.")</f>
        <v>most of the time to give a problem solving questions where I put a problem and say, okay, and push a student to critically think. ... , I put a problem and then we'll come up with the solutions for the problem. And I haven't been able to find a good way to do that with DevOps, in, uh, in terms of assessment.</v>
      </c>
      <c r="H290" s="3" t="str">
        <f>IFERROR(__xludf.DUMMYFUNCTION("""COMPUTED_VALUE"""),"Use problem solving questions in DevOps assessment. It pushs student to critically think.")</f>
        <v>Use problem solving questions in DevOps assessment. It pushs student to critically think.</v>
      </c>
      <c r="I290" s="2" t="s">
        <v>3670</v>
      </c>
    </row>
    <row r="291">
      <c r="A291" s="50" t="s">
        <v>3671</v>
      </c>
      <c r="B291" s="2">
        <f>IFERROR(__xludf.DUMMYFUNCTION("""COMPUTED_VALUE"""),11.0)</f>
        <v>11</v>
      </c>
      <c r="C291" s="2">
        <f>IFERROR(__xludf.DUMMYFUNCTION("""COMPUTED_VALUE"""),20.0)</f>
        <v>20</v>
      </c>
      <c r="D291" s="2" t="str">
        <f>IFERROR(__xludf.DUMMYFUNCTION("""COMPUTED_VALUE"""),"R1 / R3")</f>
        <v>R1 / R3</v>
      </c>
      <c r="E291" s="2" t="str">
        <f>IFERROR(__xludf.DUMMYFUNCTION("""COMPUTED_VALUE"""),"Other Challenge and Recommendation")</f>
        <v>Other Challenge and Recommendation</v>
      </c>
      <c r="F291" s="2" t="str">
        <f>IFERROR(__xludf.DUMMYFUNCTION("""COMPUTED_VALUE"""),"recommendation")</f>
        <v>recommendation</v>
      </c>
      <c r="G291" s="3" t="str">
        <f>IFERROR(__xludf.DUMMYFUNCTION("""COMPUTED_VALUE""")," And so if we can find a way to be able to, to compress the experience or expertise in the practical experience and expertise in the context of lectures and so on.")</f>
        <v> And so if we can find a way to be able to, to compress the experience or expertise in the practical experience and expertise in the context of lectures and so on.</v>
      </c>
      <c r="H291" s="3" t="str">
        <f>IFERROR(__xludf.DUMMYFUNCTION("""COMPUTED_VALUE"""),"Conciliate the experience in labs and the context of lectures.")</f>
        <v>Conciliate the experience in labs and the context of lectures.</v>
      </c>
      <c r="I291" s="2" t="s">
        <v>1753</v>
      </c>
    </row>
    <row r="292">
      <c r="A292" s="50" t="s">
        <v>3672</v>
      </c>
      <c r="B292" s="2">
        <f>IFERROR(__xludf.DUMMYFUNCTION("""COMPUTED_VALUE"""),12.0)</f>
        <v>12</v>
      </c>
      <c r="C292" s="2">
        <f>IFERROR(__xludf.DUMMYFUNCTION("""COMPUTED_VALUE"""),1.0)</f>
        <v>1</v>
      </c>
      <c r="D292" s="2" t="str">
        <f>IFERROR(__xludf.DUMMYFUNCTION("""COMPUTED_VALUE"""),"R1 / R2")</f>
        <v>R1 / R2</v>
      </c>
      <c r="E292" s="2" t="str">
        <f>IFERROR(__xludf.DUMMYFUNCTION("""COMPUTED_VALUE"""),"Educator Experience")</f>
        <v>Educator Experience</v>
      </c>
      <c r="F292" s="2" t="str">
        <f>IFERROR(__xludf.DUMMYFUNCTION("""COMPUTED_VALUE"""),"recommendation")</f>
        <v>recommendation</v>
      </c>
      <c r="G292" s="3" t="str">
        <f>IFERROR(__xludf.DUMMYFUNCTION("""COMPUTED_VALUE"""),"Like, what do you teach in a DevOps course? Like, do you teach just technologies like Kubernetes and Docker? And, and I kept saying, no, this is not why I went back to university. I don't want to be just teaching techniques and tools because these will ch"&amp;"ange over time.
")</f>
        <v>Like, what do you teach in a DevOps course? Like, do you teach just technologies like Kubernetes and Docker? And, and I kept saying, no, this is not why I went back to university. I don't want to be just teaching techniques and tools because these will change over time.
</v>
      </c>
      <c r="H292" s="3" t="str">
        <f>IFERROR(__xludf.DUMMYFUNCTION("""COMPUTED_VALUE"""),"Don't teach a DevOps course only focusing on tools and technologies because it changes over time")</f>
        <v>Don't teach a DevOps course only focusing on tools and technologies because it changes over time</v>
      </c>
      <c r="I292" s="2" t="s">
        <v>1171</v>
      </c>
    </row>
    <row r="293">
      <c r="A293" s="50" t="s">
        <v>3673</v>
      </c>
      <c r="B293" s="2">
        <f>IFERROR(__xludf.DUMMYFUNCTION("""COMPUTED_VALUE"""),12.0)</f>
        <v>12</v>
      </c>
      <c r="C293" s="2">
        <f>IFERROR(__xludf.DUMMYFUNCTION("""COMPUTED_VALUE"""),2.0)</f>
        <v>2</v>
      </c>
      <c r="D293" s="2" t="str">
        <f>IFERROR(__xludf.DUMMYFUNCTION("""COMPUTED_VALUE"""),"R2 / R3")</f>
        <v>R2 / R3</v>
      </c>
      <c r="E293" s="2" t="str">
        <f>IFERROR(__xludf.DUMMYFUNCTION("""COMPUTED_VALUE"""),"Educator Experience")</f>
        <v>Educator Experience</v>
      </c>
      <c r="F293" s="2" t="str">
        <f>IFERROR(__xludf.DUMMYFUNCTION("""COMPUTED_VALUE"""),"recommendation")</f>
        <v>recommendation</v>
      </c>
      <c r="G293" s="2" t="str">
        <f>IFERROR(__xludf.DUMMYFUNCTION("""COMPUTED_VALUE""")," I was looking for books to use. And, um, you know, I started to look at the books from Jane Kim. Um, and essentially I found this DevOps handbook, which has really not written as a textbook, but it's, it covers it's, it's built around the three ways of D"&amp;"evOps. So the first way is the notion of flow. The second way is the notion of, um, feedback. And the third way is continual learning and experimentation. ")</f>
        <v> I was looking for books to use. And, um, you know, I started to look at the books from Jane Kim. Um, and essentially I found this DevOps handbook, which has really not written as a textbook, but it's, it covers it's, it's built around the three ways of DevOps. So the first way is the notion of flow. The second way is the notion of, um, feedback. And the third way is continual learning and experimentation. </v>
      </c>
      <c r="H293" s="2" t="str">
        <f>IFERROR(__xludf.DUMMYFUNCTION("""COMPUTED_VALUE"""),"Take Gene Kim's book ""DevOps Handbook"" as a reference to prepare a DevOps class")</f>
        <v>Take Gene Kim's book "DevOps Handbook" as a reference to prepare a DevOps class</v>
      </c>
      <c r="I293" s="2" t="s">
        <v>1173</v>
      </c>
    </row>
    <row r="294">
      <c r="A294" s="50" t="s">
        <v>3674</v>
      </c>
      <c r="B294" s="2">
        <f>IFERROR(__xludf.DUMMYFUNCTION("""COMPUTED_VALUE"""),12.0)</f>
        <v>12</v>
      </c>
      <c r="C294" s="2">
        <f>IFERROR(__xludf.DUMMYFUNCTION("""COMPUTED_VALUE"""),3.0)</f>
        <v>3</v>
      </c>
      <c r="D294" s="2" t="str">
        <f>IFERROR(__xludf.DUMMYFUNCTION("""COMPUTED_VALUE"""),"R1 / R3")</f>
        <v>R1 / R3</v>
      </c>
      <c r="E294" s="2" t="str">
        <f>IFERROR(__xludf.DUMMYFUNCTION("""COMPUTED_VALUE"""),"Educator Experience")</f>
        <v>Educator Experience</v>
      </c>
      <c r="F294" s="2" t="str">
        <f>IFERROR(__xludf.DUMMYFUNCTION("""COMPUTED_VALUE"""),"recommendation")</f>
        <v>recommendation</v>
      </c>
      <c r="G294" s="3" t="str">
        <f>IFERROR(__xludf.DUMMYFUNCTION("""COMPUTED_VALUE"""),"I wanted to go with open source technologies so I can explain later how we build the labs, ")</f>
        <v>I wanted to go with open source technologies so I can explain later how we build the labs, </v>
      </c>
      <c r="H294" s="3" t="str">
        <f>IFERROR(__xludf.DUMMYFUNCTION("""COMPUTED_VALUE"""),"Prefer to use open source technologies.")</f>
        <v>Prefer to use open source technologies.</v>
      </c>
      <c r="I294" s="2" t="s">
        <v>3675</v>
      </c>
    </row>
    <row r="295">
      <c r="A295" s="50" t="s">
        <v>3676</v>
      </c>
      <c r="B295" s="2">
        <f>IFERROR(__xludf.DUMMYFUNCTION("""COMPUTED_VALUE"""),12.0)</f>
        <v>12</v>
      </c>
      <c r="C295" s="2">
        <f>IFERROR(__xludf.DUMMYFUNCTION("""COMPUTED_VALUE"""),4.0)</f>
        <v>4</v>
      </c>
      <c r="D295" s="2" t="str">
        <f>IFERROR(__xludf.DUMMYFUNCTION("""COMPUTED_VALUE"""),"R1 / R3")</f>
        <v>R1 / R3</v>
      </c>
      <c r="E295" s="2" t="str">
        <f>IFERROR(__xludf.DUMMYFUNCTION("""COMPUTED_VALUE"""),"Educator Experience")</f>
        <v>Educator Experience</v>
      </c>
      <c r="F295" s="2" t="str">
        <f>IFERROR(__xludf.DUMMYFUNCTION("""COMPUTED_VALUE"""),"recommendation")</f>
        <v>recommendation</v>
      </c>
      <c r="G295" s="3" t="str">
        <f>IFERROR(__xludf.DUMMYFUNCTION("""COMPUTED_VALUE"""),"the students were still very satisfied with the course [...] we built on the labs of last summer, but may that kind of a case study kind of fixtures case study and the students pretty much like it.")</f>
        <v>the students were still very satisfied with the course [...] we built on the labs of last summer, but may that kind of a case study kind of fixtures case study and the students pretty much like it.</v>
      </c>
      <c r="H295" s="3" t="str">
        <f>IFERROR(__xludf.DUMMYFUNCTION("""COMPUTED_VALUE"""),"Try to use case study together labs.")</f>
        <v>Try to use case study together labs.</v>
      </c>
      <c r="I295" s="2" t="s">
        <v>3677</v>
      </c>
    </row>
    <row r="296">
      <c r="A296" s="50" t="s">
        <v>3678</v>
      </c>
      <c r="B296" s="2">
        <f>IFERROR(__xludf.DUMMYFUNCTION("""COMPUTED_VALUE"""),12.0)</f>
        <v>12</v>
      </c>
      <c r="C296" s="2">
        <f>IFERROR(__xludf.DUMMYFUNCTION("""COMPUTED_VALUE"""),4.0)</f>
        <v>4</v>
      </c>
      <c r="D296" s="2" t="str">
        <f>IFERROR(__xludf.DUMMYFUNCTION("""COMPUTED_VALUE"""),"R1 / R3")</f>
        <v>R1 / R3</v>
      </c>
      <c r="E296" s="2" t="str">
        <f>IFERROR(__xludf.DUMMYFUNCTION("""COMPUTED_VALUE"""),"Educator Experience")</f>
        <v>Educator Experience</v>
      </c>
      <c r="F296" s="2" t="str">
        <f>IFERROR(__xludf.DUMMYFUNCTION("""COMPUTED_VALUE"""),"recommendation")</f>
        <v>recommendation</v>
      </c>
      <c r="G296" s="3" t="str">
        <f>IFERROR(__xludf.DUMMYFUNCTION("""COMPUTED_VALUE""")," I had a different assistant for the labs who was the next student. So the first time, and the labs were quite well received. ")</f>
        <v> I had a different assistant for the labs who was the next student. So the first time, and the labs were quite well received. </v>
      </c>
      <c r="H296" s="3" t="str">
        <f>IFERROR(__xludf.DUMMYFUNCTION("""COMPUTED_VALUE"""),"Qualified teacher assistant is important to setup the labs.")</f>
        <v>Qualified teacher assistant is important to setup the labs.</v>
      </c>
      <c r="I296" s="2" t="s">
        <v>1759</v>
      </c>
    </row>
    <row r="297">
      <c r="A297" s="50" t="s">
        <v>3679</v>
      </c>
      <c r="B297" s="2">
        <f>IFERROR(__xludf.DUMMYFUNCTION("""COMPUTED_VALUE"""),12.0)</f>
        <v>12</v>
      </c>
      <c r="C297" s="2">
        <f>IFERROR(__xludf.DUMMYFUNCTION("""COMPUTED_VALUE"""),6.0)</f>
        <v>6</v>
      </c>
      <c r="D297" s="2" t="str">
        <f>IFERROR(__xludf.DUMMYFUNCTION("""COMPUTED_VALUE"""),"R1 / R2")</f>
        <v>R1 / R2</v>
      </c>
      <c r="E297" s="2" t="str">
        <f>IFERROR(__xludf.DUMMYFUNCTION("""COMPUTED_VALUE"""),"Educator Experience")</f>
        <v>Educator Experience</v>
      </c>
      <c r="F297" s="2" t="str">
        <f>IFERROR(__xludf.DUMMYFUNCTION("""COMPUTED_VALUE"""),"recommendation")</f>
        <v>recommendation</v>
      </c>
      <c r="G297" s="3" t="str">
        <f>IFERROR(__xludf.DUMMYFUNCTION("""COMPUTED_VALUE"""),"I'm always asking you the last factor. I'm always taking almost an hour to, as a student. Just give me your feedback. Like, like very openly, right? That's you should all give me a feedback again.")</f>
        <v>I'm always asking you the last factor. I'm always taking almost an hour to, as a student. Just give me your feedback. Like, like very openly, right? That's you should all give me a feedback again.</v>
      </c>
      <c r="H297" s="3" t="str">
        <f>IFERROR(__xludf.DUMMYFUNCTION("""COMPUTED_VALUE"""),"Take time to hear student's feedbacks very openly and give them your feedback too")</f>
        <v>Take time to hear student's feedbacks very openly and give them your feedback too</v>
      </c>
      <c r="I297" s="2" t="s">
        <v>1175</v>
      </c>
    </row>
    <row r="298">
      <c r="A298" s="50" t="s">
        <v>3680</v>
      </c>
      <c r="B298" s="2">
        <f>IFERROR(__xludf.DUMMYFUNCTION("""COMPUTED_VALUE"""),12.0)</f>
        <v>12</v>
      </c>
      <c r="C298" s="2">
        <f>IFERROR(__xludf.DUMMYFUNCTION("""COMPUTED_VALUE"""),6.0)</f>
        <v>6</v>
      </c>
      <c r="D298" s="2" t="str">
        <f>IFERROR(__xludf.DUMMYFUNCTION("""COMPUTED_VALUE"""),"R1 / R2")</f>
        <v>R1 / R2</v>
      </c>
      <c r="E298" s="2" t="str">
        <f>IFERROR(__xludf.DUMMYFUNCTION("""COMPUTED_VALUE"""),"Educator Experience")</f>
        <v>Educator Experience</v>
      </c>
      <c r="F298" s="2" t="str">
        <f>IFERROR(__xludf.DUMMYFUNCTION("""COMPUTED_VALUE"""),"recommendation")</f>
        <v>recommendation</v>
      </c>
      <c r="G298" s="3" t="str">
        <f>IFERROR(__xludf.DUMMYFUNCTION("""COMPUTED_VALUE"""),"you need to get the feedback, you don't get the feedback, right? So, and when we, when the students do the student evaluation, of course don't write much. So it's much easier if you can trigger this question")</f>
        <v>you need to get the feedback, you don't get the feedback, right? So, and when we, when the students do the student evaluation, of course don't write much. So it's much easier if you can trigger this question</v>
      </c>
      <c r="H298" s="3" t="str">
        <f>IFERROR(__xludf.DUMMYFUNCTION("""COMPUTED_VALUE"""),"Do not try to get feedback before a student assessment, as the student may feel fearful.")</f>
        <v>Do not try to get feedback before a student assessment, as the student may feel fearful.</v>
      </c>
      <c r="I298" s="2" t="s">
        <v>3681</v>
      </c>
    </row>
    <row r="299">
      <c r="A299" s="50" t="s">
        <v>3682</v>
      </c>
      <c r="B299" s="2">
        <f>IFERROR(__xludf.DUMMYFUNCTION("""COMPUTED_VALUE"""),12.0)</f>
        <v>12</v>
      </c>
      <c r="C299" s="2">
        <f>IFERROR(__xludf.DUMMYFUNCTION("""COMPUTED_VALUE"""),8.0)</f>
        <v>8</v>
      </c>
      <c r="D299" s="2" t="str">
        <f>IFERROR(__xludf.DUMMYFUNCTION("""COMPUTED_VALUE"""),"R1 / R3")</f>
        <v>R1 / R3</v>
      </c>
      <c r="E299" s="2" t="str">
        <f>IFERROR(__xludf.DUMMYFUNCTION("""COMPUTED_VALUE"""),"General Challenges and Recommendations")</f>
        <v>General Challenges and Recommendations</v>
      </c>
      <c r="F299" s="2" t="str">
        <f>IFERROR(__xludf.DUMMYFUNCTION("""COMPUTED_VALUE"""),"recommendation")</f>
        <v>recommendation</v>
      </c>
      <c r="G299" s="3" t="str">
        <f>IFERROR(__xludf.DUMMYFUNCTION("""COMPUTED_VALUE"""),"So this book [DevOps Handbook] is very well done in this sense [...] it goes to the foundations of devops and gets to the different key ideas, right? ")</f>
        <v>So this book [DevOps Handbook] is very well done in this sense [...] it goes to the foundations of devops and gets to the different key ideas, right? </v>
      </c>
      <c r="H299" s="3" t="str">
        <f>IFERROR(__xludf.DUMMYFUNCTION("""COMPUTED_VALUE"""),"Devops Handbook goes to the foundations of DevOps and gets to the different key ideas.")</f>
        <v>Devops Handbook goes to the foundations of DevOps and gets to the different key ideas.</v>
      </c>
      <c r="I299" s="2" t="s">
        <v>751</v>
      </c>
    </row>
    <row r="300">
      <c r="A300" s="50" t="s">
        <v>3683</v>
      </c>
      <c r="B300" s="2">
        <f>IFERROR(__xludf.DUMMYFUNCTION("""COMPUTED_VALUE"""),12.0)</f>
        <v>12</v>
      </c>
      <c r="C300" s="2">
        <f>IFERROR(__xludf.DUMMYFUNCTION("""COMPUTED_VALUE"""),9.0)</f>
        <v>9</v>
      </c>
      <c r="D300" s="2" t="str">
        <f>IFERROR(__xludf.DUMMYFUNCTION("""COMPUTED_VALUE"""),"R1 / R3")</f>
        <v>R1 / R3</v>
      </c>
      <c r="E300" s="2" t="str">
        <f>IFERROR(__xludf.DUMMYFUNCTION("""COMPUTED_VALUE"""),"General Challenges and Recommendations")</f>
        <v>General Challenges and Recommendations</v>
      </c>
      <c r="F300" s="2" t="str">
        <f>IFERROR(__xludf.DUMMYFUNCTION("""COMPUTED_VALUE"""),"recommendation")</f>
        <v>recommendation</v>
      </c>
      <c r="G300" s="3" t="str">
        <f>IFERROR(__xludf.DUMMYFUNCTION("""COMPUTED_VALUE"""),"the unicorn [project book] who was just, just published last year is more about the Dev stuff, but it really brings it into the mindset of, of, okay, what are the issues concretely that we face. ")</f>
        <v>the unicorn [project book] who was just, just published last year is more about the Dev stuff, but it really brings it into the mindset of, of, okay, what are the issues concretely that we face. </v>
      </c>
      <c r="H300" s="3" t="str">
        <f>IFERROR(__xludf.DUMMYFUNCTION("""COMPUTED_VALUE"""),"The Unicorn project book is a novel which covers the Dev side issues of DevOps.")</f>
        <v>The Unicorn project book is a novel which covers the Dev side issues of DevOps.</v>
      </c>
      <c r="I300" s="2" t="s">
        <v>3684</v>
      </c>
    </row>
    <row r="301">
      <c r="A301" s="50" t="s">
        <v>3685</v>
      </c>
      <c r="B301" s="2">
        <f>IFERROR(__xludf.DUMMYFUNCTION("""COMPUTED_VALUE"""),12.0)</f>
        <v>12</v>
      </c>
      <c r="C301" s="2">
        <f>IFERROR(__xludf.DUMMYFUNCTION("""COMPUTED_VALUE"""),9.0)</f>
        <v>9</v>
      </c>
      <c r="D301" s="2" t="str">
        <f>IFERROR(__xludf.DUMMYFUNCTION("""COMPUTED_VALUE"""),"R1 / R3")</f>
        <v>R1 / R3</v>
      </c>
      <c r="E301" s="2" t="str">
        <f>IFERROR(__xludf.DUMMYFUNCTION("""COMPUTED_VALUE"""),"General Challenges and Recommendations")</f>
        <v>General Challenges and Recommendations</v>
      </c>
      <c r="F301" s="2" t="str">
        <f>IFERROR(__xludf.DUMMYFUNCTION("""COMPUTED_VALUE"""),"recommendation")</f>
        <v>recommendation</v>
      </c>
      <c r="G301" s="2" t="str">
        <f>IFERROR(__xludf.DUMMYFUNCTION("""COMPUTED_VALUE"""),"The Phoenix project ...  it's written also by essentially Jean Kim ... , it's written as a novel ... you get into the, the life of people that are facing issues that's are essentially DevOps issues ... he Phoenix project is more about the Ops side of thin"&amp;"gs.")</f>
        <v>The Phoenix project ...  it's written also by essentially Jean Kim ... , it's written as a novel ... you get into the, the life of people that are facing issues that's are essentially DevOps issues ... he Phoenix project is more about the Ops side of things.</v>
      </c>
      <c r="H301" s="2" t="str">
        <f>IFERROR(__xludf.DUMMYFUNCTION("""COMPUTED_VALUE"""),"The Phoenix book by Jean Kim is a novel that covers the Ops side of DevOps.")</f>
        <v>The Phoenix book by Jean Kim is a novel that covers the Ops side of DevOps.</v>
      </c>
      <c r="I301" s="2" t="s">
        <v>1771</v>
      </c>
    </row>
    <row r="302">
      <c r="A302" s="50" t="s">
        <v>3686</v>
      </c>
      <c r="B302" s="2">
        <f>IFERROR(__xludf.DUMMYFUNCTION("""COMPUTED_VALUE"""),12.0)</f>
        <v>12</v>
      </c>
      <c r="C302" s="2">
        <f>IFERROR(__xludf.DUMMYFUNCTION("""COMPUTED_VALUE"""),11.0)</f>
        <v>11</v>
      </c>
      <c r="D302" s="2" t="str">
        <f>IFERROR(__xludf.DUMMYFUNCTION("""COMPUTED_VALUE"""),"R1 / R2")</f>
        <v>R1 / R2</v>
      </c>
      <c r="E302" s="2" t="str">
        <f>IFERROR(__xludf.DUMMYFUNCTION("""COMPUTED_VALUE"""),"General Challenges and Recommendations")</f>
        <v>General Challenges and Recommendations</v>
      </c>
      <c r="F302" s="2" t="str">
        <f>IFERROR(__xludf.DUMMYFUNCTION("""COMPUTED_VALUE"""),"recommendation")</f>
        <v>recommendation</v>
      </c>
      <c r="G302" s="3" t="str">
        <f>IFERROR(__xludf.DUMMYFUNCTION("""COMPUTED_VALUE""")," I built kind of a fictitious company [...] based on my experience [...]  the students work in groups of three [...]  in the first lab, they have to set up their environment [...] We bring them also to, to build, uh, two small applications that actually e"&amp;"xtract, um, data from the Kanban, uh, in GitHub using the GitHub APIs, because I want the students to one that very important aspect of DevOps is the continuous improvement. So if you want, you have to apply the same principles to the process that you're "&amp;"applying to your product.
")</f>
        <v> I built kind of a fictitious company [...] based on my experience [...]  the students work in groups of three [...]  in the first lab, they have to set up their environment [...] We bring them also to, to build, uh, two small applications that actually extract, um, data from the Kanban, uh, in GitHub using the GitHub APIs, because I want the students to one that very important aspect of DevOps is the continuous improvement. So if you want, you have to apply the same principles to the process that you're applying to your product.
</v>
      </c>
      <c r="H302" s="3" t="str">
        <f>IFERROR(__xludf.DUMMYFUNCTION("""COMPUTED_VALUE"""),"Create a fictitious company based on experience for students to practice continuous improvement, creating applications, extracting data from Kanban")</f>
        <v>Create a fictitious company based on experience for students to practice continuous improvement, creating applications, extracting data from Kanban</v>
      </c>
      <c r="I302" s="2" t="s">
        <v>3687</v>
      </c>
    </row>
    <row r="303">
      <c r="A303" s="50" t="s">
        <v>3688</v>
      </c>
      <c r="B303" s="2">
        <f>IFERROR(__xludf.DUMMYFUNCTION("""COMPUTED_VALUE"""),12.0)</f>
        <v>12</v>
      </c>
      <c r="C303" s="2">
        <f>IFERROR(__xludf.DUMMYFUNCTION("""COMPUTED_VALUE"""),12.0)</f>
        <v>12</v>
      </c>
      <c r="D303" s="2" t="str">
        <f>IFERROR(__xludf.DUMMYFUNCTION("""COMPUTED_VALUE"""),"R2 / R3")</f>
        <v>R2 / R3</v>
      </c>
      <c r="E303" s="2" t="str">
        <f>IFERROR(__xludf.DUMMYFUNCTION("""COMPUTED_VALUE"""),"General Challenges and Recommendations")</f>
        <v>General Challenges and Recommendations</v>
      </c>
      <c r="F303" s="2" t="str">
        <f>IFERROR(__xludf.DUMMYFUNCTION("""COMPUTED_VALUE"""),"recommendation")</f>
        <v>recommendation</v>
      </c>
      <c r="G303" s="3" t="str">
        <f>IFERROR(__xludf.DUMMYFUNCTION("""COMPUTED_VALUE""")," So they have set up their environment")</f>
        <v> So they have set up their environment</v>
      </c>
      <c r="H303" s="3" t="str">
        <f>IFERROR(__xludf.DUMMYFUNCTION("""COMPUTED_VALUE"""),"Let students setup their environment for themselves.")</f>
        <v>Let students setup their environment for themselves.</v>
      </c>
      <c r="I303" s="2" t="s">
        <v>3689</v>
      </c>
    </row>
    <row r="304">
      <c r="A304" s="50" t="s">
        <v>3690</v>
      </c>
      <c r="B304" s="2">
        <f>IFERROR(__xludf.DUMMYFUNCTION("""COMPUTED_VALUE"""),12.0)</f>
        <v>12</v>
      </c>
      <c r="C304" s="2">
        <f>IFERROR(__xludf.DUMMYFUNCTION("""COMPUTED_VALUE"""),12.0)</f>
        <v>12</v>
      </c>
      <c r="D304" s="2" t="str">
        <f>IFERROR(__xludf.DUMMYFUNCTION("""COMPUTED_VALUE"""),"R2 / R3")</f>
        <v>R2 / R3</v>
      </c>
      <c r="E304" s="2" t="str">
        <f>IFERROR(__xludf.DUMMYFUNCTION("""COMPUTED_VALUE"""),"General Challenges and Recommendations")</f>
        <v>General Challenges and Recommendations</v>
      </c>
      <c r="F304" s="2" t="str">
        <f>IFERROR(__xludf.DUMMYFUNCTION("""COMPUTED_VALUE"""),"recommendation")</f>
        <v>recommendation</v>
      </c>
      <c r="G304" s="3" t="str">
        <f>IFERROR(__xludf.DUMMYFUNCTION("""COMPUTED_VALUE"""),"The second one is to, we give them an application. It's an actually an HVAC humidity, air conditioning and ventilation, um, and they don't develop the application, but they have to build the pipeline to support this existing application.")</f>
        <v>The second one is to, we give them an application. It's an actually an HVAC humidity, air conditioning and ventilation, um, and they don't develop the application, but they have to build the pipeline to support this existing application.</v>
      </c>
      <c r="H304" s="3" t="str">
        <f>IFERROR(__xludf.DUMMYFUNCTION("""COMPUTED_VALUE"""),"Give students an application that they have to build the pipeline to support it.")</f>
        <v>Give students an application that they have to build the pipeline to support it.</v>
      </c>
      <c r="I304" s="2" t="s">
        <v>1185</v>
      </c>
    </row>
    <row r="305">
      <c r="A305" s="50" t="s">
        <v>3691</v>
      </c>
      <c r="B305" s="2">
        <f>IFERROR(__xludf.DUMMYFUNCTION("""COMPUTED_VALUE"""),12.0)</f>
        <v>12</v>
      </c>
      <c r="C305" s="2">
        <f>IFERROR(__xludf.DUMMYFUNCTION("""COMPUTED_VALUE"""),13.0)</f>
        <v>13</v>
      </c>
      <c r="D305" s="2" t="str">
        <f>IFERROR(__xludf.DUMMYFUNCTION("""COMPUTED_VALUE"""),"R1 / R3")</f>
        <v>R1 / R3</v>
      </c>
      <c r="E305" s="2" t="str">
        <f>IFERROR(__xludf.DUMMYFUNCTION("""COMPUTED_VALUE"""),"General Challenges and Recommendations")</f>
        <v>General Challenges and Recommendations</v>
      </c>
      <c r="F305" s="2" t="str">
        <f>IFERROR(__xludf.DUMMYFUNCTION("""COMPUTED_VALUE"""),"recommendation")</f>
        <v>recommendation</v>
      </c>
      <c r="G305" s="3" t="str">
        <f>IFERROR(__xludf.DUMMYFUNCTION("""COMPUTED_VALUE"""),"So second one is about establishing the pipeline and then they finish the second one by, uh, building the Docker images. But it's not in depth about containers or, or kubernetes, but that's easily touch it. Okay.")</f>
        <v>So second one is about establishing the pipeline and then they finish the second one by, uh, building the Docker images. But it's not in depth about containers or, or kubernetes, but that's easily touch it. Okay.</v>
      </c>
      <c r="H305" s="3" t="str">
        <f>IFERROR(__xludf.DUMMYFUNCTION("""COMPUTED_VALUE"""),"Teach how to use tools like Docker and Kubernetes but do not much depth")</f>
        <v>Teach how to use tools like Docker and Kubernetes but do not much depth</v>
      </c>
      <c r="I305" s="2" t="s">
        <v>765</v>
      </c>
    </row>
    <row r="306">
      <c r="A306" s="50" t="s">
        <v>3692</v>
      </c>
      <c r="B306" s="2">
        <f>IFERROR(__xludf.DUMMYFUNCTION("""COMPUTED_VALUE"""),12.0)</f>
        <v>12</v>
      </c>
      <c r="C306" s="2">
        <f>IFERROR(__xludf.DUMMYFUNCTION("""COMPUTED_VALUE"""),13.0)</f>
        <v>13</v>
      </c>
      <c r="D306" s="2" t="str">
        <f>IFERROR(__xludf.DUMMYFUNCTION("""COMPUTED_VALUE"""),"R1 / R3")</f>
        <v>R1 / R3</v>
      </c>
      <c r="E306" s="2" t="str">
        <f>IFERROR(__xludf.DUMMYFUNCTION("""COMPUTED_VALUE"""),"General Challenges and Recommendations")</f>
        <v>General Challenges and Recommendations</v>
      </c>
      <c r="F306" s="2" t="str">
        <f>IFERROR(__xludf.DUMMYFUNCTION("""COMPUTED_VALUE"""),"recommendation")</f>
        <v>recommendation</v>
      </c>
      <c r="G306" s="3" t="str">
        <f>IFERROR(__xludf.DUMMYFUNCTION("""COMPUTED_VALUE"""),"the third lab, that's what we do since last winter. We didn't do it last summer, did deploy on, on, on AWS. So we have, we have built accounts on Amazon, so they can go all the way.")</f>
        <v>the third lab, that's what we do since last winter. We didn't do it last summer, did deploy on, on, on AWS. So we have, we have built accounts on Amazon, so they can go all the way.</v>
      </c>
      <c r="H306" s="3" t="str">
        <f>IFERROR(__xludf.DUMMYFUNCTION("""COMPUTED_VALUE"""),"Make the students experiment how to use a cloud provider like AWS.")</f>
        <v>Make the students experiment how to use a cloud provider like AWS.</v>
      </c>
      <c r="I306" s="2" t="s">
        <v>3693</v>
      </c>
    </row>
    <row r="307">
      <c r="A307" s="50" t="s">
        <v>3694</v>
      </c>
      <c r="B307" s="2">
        <f>IFERROR(__xludf.DUMMYFUNCTION("""COMPUTED_VALUE"""),12.0)</f>
        <v>12</v>
      </c>
      <c r="C307" s="2">
        <f>IFERROR(__xludf.DUMMYFUNCTION("""COMPUTED_VALUE"""),14.0)</f>
        <v>14</v>
      </c>
      <c r="D307" s="2" t="str">
        <f>IFERROR(__xludf.DUMMYFUNCTION("""COMPUTED_VALUE"""),"R1 / R3")</f>
        <v>R1 / R3</v>
      </c>
      <c r="E307" s="2" t="str">
        <f>IFERROR(__xludf.DUMMYFUNCTION("""COMPUTED_VALUE"""),"General Challenges and Recommendations")</f>
        <v>General Challenges and Recommendations</v>
      </c>
      <c r="F307" s="2" t="str">
        <f>IFERROR(__xludf.DUMMYFUNCTION("""COMPUTED_VALUE"""),"recommendation")</f>
        <v>recommendation</v>
      </c>
      <c r="G307" s="2" t="str">
        <f>IFERROR(__xludf.DUMMYFUNCTION("""COMPUTED_VALUE"""),"the global approach made sure the students not associated with devops with a CI/CD pipeline, because in my opinion, it's all about continuous improvement. ")</f>
        <v>the global approach made sure the students not associated with devops with a CI/CD pipeline, because in my opinion, it's all about continuous improvement. </v>
      </c>
      <c r="H307" s="2" t="str">
        <f>IFERROR(__xludf.DUMMYFUNCTION("""COMPUTED_VALUE"""),"Continuous improvement is a key DevOps concept.")</f>
        <v>Continuous improvement is a key DevOps concept.</v>
      </c>
      <c r="I307" s="2" t="s">
        <v>3695</v>
      </c>
    </row>
    <row r="308">
      <c r="A308" s="50" t="s">
        <v>3696</v>
      </c>
      <c r="B308" s="2">
        <f>IFERROR(__xludf.DUMMYFUNCTION("""COMPUTED_VALUE"""),12.0)</f>
        <v>12</v>
      </c>
      <c r="C308" s="2">
        <f>IFERROR(__xludf.DUMMYFUNCTION("""COMPUTED_VALUE"""),14.0)</f>
        <v>14</v>
      </c>
      <c r="D308" s="2" t="str">
        <f>IFERROR(__xludf.DUMMYFUNCTION("""COMPUTED_VALUE"""),"R1 / R3")</f>
        <v>R1 / R3</v>
      </c>
      <c r="E308" s="2" t="str">
        <f>IFERROR(__xludf.DUMMYFUNCTION("""COMPUTED_VALUE"""),"General Challenges and Recommendations")</f>
        <v>General Challenges and Recommendations</v>
      </c>
      <c r="F308" s="2" t="str">
        <f>IFERROR(__xludf.DUMMYFUNCTION("""COMPUTED_VALUE"""),"recommendation")</f>
        <v>recommendation</v>
      </c>
      <c r="G308" s="3" t="str">
        <f>IFERROR(__xludf.DUMMYFUNCTION("""COMPUTED_VALUE"""),"We have built a little simulator that is quite simple, but that's easy to traverse the whole, essentially the main phases of DevOps. ")</f>
        <v>We have built a little simulator that is quite simple, but that's easy to traverse the whole, essentially the main phases of DevOps. </v>
      </c>
      <c r="H308" s="3" t="str">
        <f>IFERROR(__xludf.DUMMYFUNCTION("""COMPUTED_VALUE"""),"Use a simple application to walk through all DevOps concepts")</f>
        <v>Use a simple application to walk through all DevOps concepts</v>
      </c>
      <c r="I308" s="2" t="s">
        <v>3697</v>
      </c>
    </row>
    <row r="309">
      <c r="A309" s="50" t="s">
        <v>3698</v>
      </c>
      <c r="B309" s="2">
        <f>IFERROR(__xludf.DUMMYFUNCTION("""COMPUTED_VALUE"""),12.0)</f>
        <v>12</v>
      </c>
      <c r="C309" s="2">
        <f>IFERROR(__xludf.DUMMYFUNCTION("""COMPUTED_VALUE"""),15.0)</f>
        <v>15</v>
      </c>
      <c r="D309" s="2" t="str">
        <f>IFERROR(__xludf.DUMMYFUNCTION("""COMPUTED_VALUE"""),"R1 / R3")</f>
        <v>R1 / R3</v>
      </c>
      <c r="E309" s="2" t="str">
        <f>IFERROR(__xludf.DUMMYFUNCTION("""COMPUTED_VALUE"""),"General Challenges and Recommendations")</f>
        <v>General Challenges and Recommendations</v>
      </c>
      <c r="F309" s="2" t="str">
        <f>IFERROR(__xludf.DUMMYFUNCTION("""COMPUTED_VALUE"""),"recommendation")</f>
        <v>recommendation</v>
      </c>
      <c r="G309" s="3" t="str">
        <f>IFERROR(__xludf.DUMMYFUNCTION("""COMPUTED_VALUE""")," they need to do concrete things ... it's to be able to traverse the whole thing without necessarily going in depth about all of these things.")</f>
        <v> they need to do concrete things ... it's to be able to traverse the whole thing without necessarily going in depth about all of these things.</v>
      </c>
      <c r="H309" s="3" t="str">
        <f>IFERROR(__xludf.DUMMYFUNCTION("""COMPUTED_VALUE"""),"Do concrete things without necessarily going in depth about all.")</f>
        <v>Do concrete things without necessarily going in depth about all.</v>
      </c>
      <c r="I309" s="2" t="s">
        <v>3699</v>
      </c>
    </row>
    <row r="310">
      <c r="A310" s="50" t="s">
        <v>3700</v>
      </c>
      <c r="B310" s="2">
        <f>IFERROR(__xludf.DUMMYFUNCTION("""COMPUTED_VALUE"""),12.0)</f>
        <v>12</v>
      </c>
      <c r="C310" s="2">
        <f>IFERROR(__xludf.DUMMYFUNCTION("""COMPUTED_VALUE"""),16.0)</f>
        <v>16</v>
      </c>
      <c r="D310" s="2" t="str">
        <f>IFERROR(__xludf.DUMMYFUNCTION("""COMPUTED_VALUE"""),"R1 / R2")</f>
        <v>R1 / R2</v>
      </c>
      <c r="E310" s="2" t="str">
        <f>IFERROR(__xludf.DUMMYFUNCTION("""COMPUTED_VALUE"""),"General Challenges and Recommendations")</f>
        <v>General Challenges and Recommendations</v>
      </c>
      <c r="F310" s="2" t="str">
        <f>IFERROR(__xludf.DUMMYFUNCTION("""COMPUTED_VALUE"""),"recommendation")</f>
        <v>recommendation</v>
      </c>
      <c r="G310" s="3" t="str">
        <f>IFERROR(__xludf.DUMMYFUNCTION("""COMPUTED_VALUE"""),"I need very solid, uh, research. It's a sorry, a lab assistance. The people responsible for the labs of course, assistants that that can actually deal with the students. So I'm lucky to have students and have good industrial experience, uh, to do that. ")</f>
        <v>I need very solid, uh, research. It's a sorry, a lab assistance. The people responsible for the labs of course, assistants that that can actually deal with the students. So I'm lucky to have students and have good industrial experience, uh, to do that. </v>
      </c>
      <c r="H310" s="3" t="str">
        <f>IFERROR(__xludf.DUMMYFUNCTION("""COMPUTED_VALUE"""),"The teacher assistants need to be very qualified.")</f>
        <v>The teacher assistants need to be very qualified.</v>
      </c>
      <c r="I310" s="2" t="s">
        <v>3701</v>
      </c>
    </row>
    <row r="311">
      <c r="A311" s="50" t="s">
        <v>3702</v>
      </c>
      <c r="B311" s="2">
        <f>IFERROR(__xludf.DUMMYFUNCTION("""COMPUTED_VALUE"""),12.0)</f>
        <v>12</v>
      </c>
      <c r="C311" s="2">
        <f>IFERROR(__xludf.DUMMYFUNCTION("""COMPUTED_VALUE"""),16.0)</f>
        <v>16</v>
      </c>
      <c r="D311" s="2" t="str">
        <f>IFERROR(__xludf.DUMMYFUNCTION("""COMPUTED_VALUE"""),"R1 / R2")</f>
        <v>R1 / R2</v>
      </c>
      <c r="E311" s="2" t="str">
        <f>IFERROR(__xludf.DUMMYFUNCTION("""COMPUTED_VALUE"""),"General Challenges and Recommendations")</f>
        <v>General Challenges and Recommendations</v>
      </c>
      <c r="F311" s="2" t="str">
        <f>IFERROR(__xludf.DUMMYFUNCTION("""COMPUTED_VALUE"""),"recommendation")</f>
        <v>recommendation</v>
      </c>
      <c r="G311" s="3" t="str">
        <f>IFERROR(__xludf.DUMMYFUNCTION("""COMPUTED_VALUE"""),"But when we touch kubernetes, for example, the students have located impression that they use, they that don't quite understand it, but I have to remind them that our goal here is not to get in depth, but I still believe that there's value in touching it."&amp;" So if they get to the industry, it's not something that is completely from another space.")</f>
        <v>But when we touch kubernetes, for example, the students have located impression that they use, they that don't quite understand it, but I have to remind them that our goal here is not to get in depth, but I still believe that there's value in touching it. So if they get to the industry, it's not something that is completely from another space.</v>
      </c>
      <c r="H311" s="3" t="str">
        <f>IFERROR(__xludf.DUMMYFUNCTION("""COMPUTED_VALUE"""),"Do not teach deeply some hard technologies like Kubernetes.")</f>
        <v>Do not teach deeply some hard technologies like Kubernetes.</v>
      </c>
      <c r="I311" s="2" t="s">
        <v>1189</v>
      </c>
    </row>
    <row r="312">
      <c r="A312" s="50" t="s">
        <v>3703</v>
      </c>
      <c r="B312" s="2">
        <f>IFERROR(__xludf.DUMMYFUNCTION("""COMPUTED_VALUE"""),12.0)</f>
        <v>12</v>
      </c>
      <c r="C312" s="2">
        <f>IFERROR(__xludf.DUMMYFUNCTION("""COMPUTED_VALUE"""),17.0)</f>
        <v>17</v>
      </c>
      <c r="D312" s="2" t="str">
        <f>IFERROR(__xludf.DUMMYFUNCTION("""COMPUTED_VALUE"""),"R2 / R3")</f>
        <v>R2 / R3</v>
      </c>
      <c r="E312" s="2" t="str">
        <f>IFERROR(__xludf.DUMMYFUNCTION("""COMPUTED_VALUE"""),"Environment Setup")</f>
        <v>Environment Setup</v>
      </c>
      <c r="F312" s="2" t="str">
        <f>IFERROR(__xludf.DUMMYFUNCTION("""COMPUTED_VALUE"""),"recommendation")</f>
        <v>recommendation</v>
      </c>
      <c r="G312" s="3" t="str">
        <f>IFERROR(__xludf.DUMMYFUNCTION("""COMPUTED_VALUE"""),"so I chose, um, tuleap, which is an open source that was missing in mainly DevOps in France.")</f>
        <v>so I chose, um, tuleap, which is an open source that was missing in mainly DevOps in France.</v>
      </c>
      <c r="H312" s="3" t="str">
        <f>IFERROR(__xludf.DUMMYFUNCTION("""COMPUTED_VALUE"""),"Use Tuleap for lifecycle management")</f>
        <v>Use Tuleap for lifecycle management</v>
      </c>
      <c r="I312" s="2" t="s">
        <v>3704</v>
      </c>
    </row>
    <row r="313">
      <c r="A313" s="50" t="s">
        <v>3705</v>
      </c>
      <c r="B313" s="2">
        <f>IFERROR(__xludf.DUMMYFUNCTION("""COMPUTED_VALUE"""),12.0)</f>
        <v>12</v>
      </c>
      <c r="C313" s="2">
        <f>IFERROR(__xludf.DUMMYFUNCTION("""COMPUTED_VALUE"""),17.0)</f>
        <v>17</v>
      </c>
      <c r="D313" s="2" t="str">
        <f>IFERROR(__xludf.DUMMYFUNCTION("""COMPUTED_VALUE"""),"R2 / R3")</f>
        <v>R2 / R3</v>
      </c>
      <c r="E313" s="2" t="str">
        <f>IFERROR(__xludf.DUMMYFUNCTION("""COMPUTED_VALUE"""),"Environment Setup")</f>
        <v>Environment Setup</v>
      </c>
      <c r="F313" s="2" t="str">
        <f>IFERROR(__xludf.DUMMYFUNCTION("""COMPUTED_VALUE"""),"recommendation")</f>
        <v>recommendation</v>
      </c>
      <c r="G313" s="3" t="str">
        <f>IFERROR(__xludf.DUMMYFUNCTION("""COMPUTED_VALUE"""),"we try to make it minimal")</f>
        <v>we try to make it minimal</v>
      </c>
      <c r="H313" s="3" t="str">
        <f>IFERROR(__xludf.DUMMYFUNCTION("""COMPUTED_VALUE"""),"Try to make the environment setup minimal.")</f>
        <v>Try to make the environment setup minimal.</v>
      </c>
      <c r="I313" s="2" t="s">
        <v>3706</v>
      </c>
    </row>
    <row r="314">
      <c r="A314" s="50" t="s">
        <v>3707</v>
      </c>
      <c r="B314" s="2">
        <f>IFERROR(__xludf.DUMMYFUNCTION("""COMPUTED_VALUE"""),12.0)</f>
        <v>12</v>
      </c>
      <c r="C314" s="2">
        <f>IFERROR(__xludf.DUMMYFUNCTION("""COMPUTED_VALUE"""),18.0)</f>
        <v>18</v>
      </c>
      <c r="D314" s="2" t="str">
        <f>IFERROR(__xludf.DUMMYFUNCTION("""COMPUTED_VALUE"""),"R1 / R3")</f>
        <v>R1 / R3</v>
      </c>
      <c r="E314" s="2" t="str">
        <f>IFERROR(__xludf.DUMMYFUNCTION("""COMPUTED_VALUE"""),"Environment Setup")</f>
        <v>Environment Setup</v>
      </c>
      <c r="F314" s="2" t="str">
        <f>IFERROR(__xludf.DUMMYFUNCTION("""COMPUTED_VALUE"""),"recommendation")</f>
        <v>recommendation</v>
      </c>
      <c r="G314" s="2" t="str">
        <f>IFERROR(__xludf.DUMMYFUNCTION("""COMPUTED_VALUE"""),"they have a real experience with respect to Amazon, it's pretty simple, and you can get a free Amazon, you just have to register. ")</f>
        <v>they have a real experience with respect to Amazon, it's pretty simple, and you can get a free Amazon, you just have to register. </v>
      </c>
      <c r="H314" s="2" t="str">
        <f>IFERROR(__xludf.DUMMYFUNCTION("""COMPUTED_VALUE"""),"Amazon cloud provider has a free plan helpful to students")</f>
        <v>Amazon cloud provider has a free plan helpful to students</v>
      </c>
      <c r="I314" s="2" t="s">
        <v>3708</v>
      </c>
    </row>
    <row r="315">
      <c r="A315" s="50" t="s">
        <v>3709</v>
      </c>
      <c r="B315" s="2">
        <f>IFERROR(__xludf.DUMMYFUNCTION("""COMPUTED_VALUE"""),12.0)</f>
        <v>12</v>
      </c>
      <c r="C315" s="2">
        <f>IFERROR(__xludf.DUMMYFUNCTION("""COMPUTED_VALUE"""),18.0)</f>
        <v>18</v>
      </c>
      <c r="D315" s="2" t="str">
        <f>IFERROR(__xludf.DUMMYFUNCTION("""COMPUTED_VALUE"""),"R1 / R3")</f>
        <v>R1 / R3</v>
      </c>
      <c r="E315" s="2" t="str">
        <f>IFERROR(__xludf.DUMMYFUNCTION("""COMPUTED_VALUE"""),"Environment Setup")</f>
        <v>Environment Setup</v>
      </c>
      <c r="F315" s="2" t="str">
        <f>IFERROR(__xludf.DUMMYFUNCTION("""COMPUTED_VALUE"""),"recommendation")</f>
        <v>recommendation</v>
      </c>
      <c r="G315" s="3" t="str">
        <f>IFERROR(__xludf.DUMMYFUNCTION("""COMPUTED_VALUE"""),"they use GitHub. .. The only thing we really need is that the students give us, uh, access to their accounts.")</f>
        <v>they use GitHub. .. The only thing we really need is that the students give us, uh, access to their accounts.</v>
      </c>
      <c r="H315" s="3" t="str">
        <f>IFERROR(__xludf.DUMMYFUNCTION("""COMPUTED_VALUE"""),"Use Github with access to students accounts repositories.")</f>
        <v>Use Github with access to students accounts repositories.</v>
      </c>
      <c r="I315" s="2" t="s">
        <v>3710</v>
      </c>
    </row>
    <row r="316">
      <c r="A316" s="50" t="s">
        <v>3711</v>
      </c>
      <c r="B316" s="2">
        <f>IFERROR(__xludf.DUMMYFUNCTION("""COMPUTED_VALUE"""),12.0)</f>
        <v>12</v>
      </c>
      <c r="C316" s="2">
        <f>IFERROR(__xludf.DUMMYFUNCTION("""COMPUTED_VALUE"""),18.0)</f>
        <v>18</v>
      </c>
      <c r="D316" s="2" t="str">
        <f>IFERROR(__xludf.DUMMYFUNCTION("""COMPUTED_VALUE"""),"R1 / R3")</f>
        <v>R1 / R3</v>
      </c>
      <c r="E316" s="2" t="str">
        <f>IFERROR(__xludf.DUMMYFUNCTION("""COMPUTED_VALUE"""),"Environment Setup")</f>
        <v>Environment Setup</v>
      </c>
      <c r="F316" s="2" t="str">
        <f>IFERROR(__xludf.DUMMYFUNCTION("""COMPUTED_VALUE"""),"recommendation")</f>
        <v>recommendation</v>
      </c>
      <c r="G316" s="3" t="str">
        <f>IFERROR(__xludf.DUMMYFUNCTION("""COMPUTED_VALUE"""),"we enforce the usage of, of the, of the Kanban, because it's an important practice in devops to make the work visible and stuff.")</f>
        <v>we enforce the usage of, of the, of the Kanban, because it's an important practice in devops to make the work visible and stuff.</v>
      </c>
      <c r="H316" s="3" t="str">
        <f>IFERROR(__xludf.DUMMYFUNCTION("""COMPUTED_VALUE"""),"Use Kanban to make the work visible in devops.")</f>
        <v>Use Kanban to make the work visible in devops.</v>
      </c>
      <c r="I316" s="2" t="s">
        <v>3712</v>
      </c>
    </row>
    <row r="317">
      <c r="A317" s="50" t="s">
        <v>3713</v>
      </c>
      <c r="B317" s="2">
        <f>IFERROR(__xludf.DUMMYFUNCTION("""COMPUTED_VALUE"""),12.0)</f>
        <v>12</v>
      </c>
      <c r="C317" s="2">
        <f>IFERROR(__xludf.DUMMYFUNCTION("""COMPUTED_VALUE"""),18.0)</f>
        <v>18</v>
      </c>
      <c r="D317" s="2" t="str">
        <f>IFERROR(__xludf.DUMMYFUNCTION("""COMPUTED_VALUE"""),"R1 / R3")</f>
        <v>R1 / R3</v>
      </c>
      <c r="E317" s="2" t="str">
        <f>IFERROR(__xludf.DUMMYFUNCTION("""COMPUTED_VALUE"""),"Environment Setup")</f>
        <v>Environment Setup</v>
      </c>
      <c r="F317" s="2" t="str">
        <f>IFERROR(__xludf.DUMMYFUNCTION("""COMPUTED_VALUE"""),"recommendation")</f>
        <v>recommendation</v>
      </c>
      <c r="G317" s="3" t="str">
        <f>IFERROR(__xludf.DUMMYFUNCTION("""COMPUTED_VALUE"""),"if you have lab assistants that are, you know, good, it's pretty easy to manage.")</f>
        <v>if you have lab assistants that are, you know, good, it's pretty easy to manage.</v>
      </c>
      <c r="H317" s="3" t="str">
        <f>IFERROR(__xludf.DUMMYFUNCTION("""COMPUTED_VALUE"""),"It is good to have teacher assistants.")</f>
        <v>It is good to have teacher assistants.</v>
      </c>
      <c r="I317" s="2" t="s">
        <v>3714</v>
      </c>
    </row>
    <row r="318">
      <c r="A318" s="50" t="s">
        <v>3715</v>
      </c>
      <c r="B318" s="2">
        <f>IFERROR(__xludf.DUMMYFUNCTION("""COMPUTED_VALUE"""),12.0)</f>
        <v>12</v>
      </c>
      <c r="C318" s="2">
        <f>IFERROR(__xludf.DUMMYFUNCTION("""COMPUTED_VALUE"""),19.0)</f>
        <v>19</v>
      </c>
      <c r="D318" s="2" t="str">
        <f>IFERROR(__xludf.DUMMYFUNCTION("""COMPUTED_VALUE"""),"R1 / R3")</f>
        <v>R1 / R3</v>
      </c>
      <c r="E318" s="2" t="str">
        <f>IFERROR(__xludf.DUMMYFUNCTION("""COMPUTED_VALUE"""),"Environment Setup")</f>
        <v>Environment Setup</v>
      </c>
      <c r="F318" s="2" t="str">
        <f>IFERROR(__xludf.DUMMYFUNCTION("""COMPUTED_VALUE"""),"recommendation")</f>
        <v>recommendation</v>
      </c>
      <c r="G318" s="2" t="str">
        <f>IFERROR(__xludf.DUMMYFUNCTION("""COMPUTED_VALUE"""),"initially we were relying the, uh, admin, uh, personnel in our department, not admin, sorry, the, the engineering, uh, the, yeah, the, the infrastructure, the people that are responsible for the labs and so on. And now, since all of the students have thei"&amp;"r laptop, we try to make it as industrial as possible in lightweight as possible. So we don't need any internal support. [...] You just need this use to create their, uh, GitHub accounts. And, uh, you have to register to be able to get some AWS, uh, credi"&amp;"ts so that you can share with the students, but it's quite, it's quite easy.")</f>
        <v>initially we were relying the, uh, admin, uh, personnel in our department, not admin, sorry, the, the engineering, uh, the, yeah, the, the infrastructure, the people that are responsible for the labs and so on. And now, since all of the students have their laptop, we try to make it as industrial as possible in lightweight as possible. So we don't need any internal support. [...] You just need this use to create their, uh, GitHub accounts. And, uh, you have to register to be able to get some AWS, uh, credits so that you can share with the students, but it's quite, it's quite easy.</v>
      </c>
      <c r="H318" s="2" t="str">
        <f>IFERROR(__xludf.DUMMYFUNCTION("""COMPUTED_VALUE"""),"You do not need to worry about university infrastruture when the students have Github and AWS accounts and you make the environment as industrial as lightweight as possible in all of the students laptops.")</f>
        <v>You do not need to worry about university infrastruture when the students have Github and AWS accounts and you make the environment as industrial as lightweight as possible in all of the students laptops.</v>
      </c>
      <c r="I318" s="2" t="s">
        <v>3716</v>
      </c>
    </row>
    <row r="319">
      <c r="A319" s="50" t="s">
        <v>3717</v>
      </c>
      <c r="B319" s="2">
        <f>IFERROR(__xludf.DUMMYFUNCTION("""COMPUTED_VALUE"""),12.0)</f>
        <v>12</v>
      </c>
      <c r="C319" s="2">
        <f>IFERROR(__xludf.DUMMYFUNCTION("""COMPUTED_VALUE"""),20.0)</f>
        <v>20</v>
      </c>
      <c r="D319" s="2" t="str">
        <f>IFERROR(__xludf.DUMMYFUNCTION("""COMPUTED_VALUE"""),"R1 / R3")</f>
        <v>R1 / R3</v>
      </c>
      <c r="E319" s="2" t="str">
        <f>IFERROR(__xludf.DUMMYFUNCTION("""COMPUTED_VALUE"""),"Tool / Technology")</f>
        <v>Tool / Technology</v>
      </c>
      <c r="F319" s="2" t="str">
        <f>IFERROR(__xludf.DUMMYFUNCTION("""COMPUTED_VALUE"""),"recommendation")</f>
        <v>recommendation</v>
      </c>
      <c r="G319" s="3" t="str">
        <f>IFERROR(__xludf.DUMMYFUNCTION("""COMPUTED_VALUE""")," So it's rather simple that we, we let them, of course use the programming language. They want to develop the application. So, you know, the department, I think traditional were quite open with respect to that in the department. Yes. Java is still used, b"&amp;"ut students, these days, don't like Java. Um, they prefer Python. They prefer different things. So for us, we don't care, right? The application we give them when we gave them the HVAC application, we give them, uh, I think they have, I should even look m"&amp;"yself, but I think we, we created two versions, one, it says Java version.")</f>
        <v> So it's rather simple that we, we let them, of course use the programming language. They want to develop the application. So, you know, the department, I think traditional were quite open with respect to that in the department. Yes. Java is still used, but students, these days, don't like Java. Um, they prefer Python. They prefer different things. So for us, we don't care, right? The application we give them when we gave them the HVAC application, we give them, uh, I think they have, I should even look myself, but I think we, we created two versions, one, it says Java version.</v>
      </c>
      <c r="H319" s="3" t="str">
        <f>IFERROR(__xludf.DUMMYFUNCTION("""COMPUTED_VALUE"""),"Do not force students to use a single language like Java.")</f>
        <v>Do not force students to use a single language like Java.</v>
      </c>
      <c r="I319" s="2" t="s">
        <v>781</v>
      </c>
    </row>
    <row r="320">
      <c r="A320" s="50" t="s">
        <v>3718</v>
      </c>
      <c r="B320" s="2">
        <f>IFERROR(__xludf.DUMMYFUNCTION("""COMPUTED_VALUE"""),12.0)</f>
        <v>12</v>
      </c>
      <c r="C320" s="2">
        <f>IFERROR(__xludf.DUMMYFUNCTION("""COMPUTED_VALUE"""),21.0)</f>
        <v>21</v>
      </c>
      <c r="D320" s="2" t="str">
        <f>IFERROR(__xludf.DUMMYFUNCTION("""COMPUTED_VALUE"""),"R1 / R2")</f>
        <v>R1 / R2</v>
      </c>
      <c r="E320" s="2" t="str">
        <f>IFERROR(__xludf.DUMMYFUNCTION("""COMPUTED_VALUE"""),"Tool / Technology")</f>
        <v>Tool / Technology</v>
      </c>
      <c r="F320" s="2" t="str">
        <f>IFERROR(__xludf.DUMMYFUNCTION("""COMPUTED_VALUE"""),"recommendation")</f>
        <v>recommendation</v>
      </c>
      <c r="G320" s="3" t="str">
        <f>IFERROR(__xludf.DUMMYFUNCTION("""COMPUTED_VALUE"""),"from a tooling point of view, um, for the pipeline, we, we recommend Travis CI")</f>
        <v>from a tooling point of view, um, for the pipeline, we, we recommend Travis CI</v>
      </c>
      <c r="H320" s="3" t="str">
        <f>IFERROR(__xludf.DUMMYFUNCTION("""COMPUTED_VALUE"""),"Use Travis CI for the pipeline.")</f>
        <v>Use Travis CI for the pipeline.</v>
      </c>
      <c r="I320" s="2" t="s">
        <v>3719</v>
      </c>
    </row>
    <row r="321">
      <c r="A321" s="50" t="s">
        <v>3720</v>
      </c>
      <c r="B321" s="2">
        <f>IFERROR(__xludf.DUMMYFUNCTION("""COMPUTED_VALUE"""),12.0)</f>
        <v>12</v>
      </c>
      <c r="C321" s="2">
        <f>IFERROR(__xludf.DUMMYFUNCTION("""COMPUTED_VALUE"""),21.0)</f>
        <v>21</v>
      </c>
      <c r="D321" s="2" t="str">
        <f>IFERROR(__xludf.DUMMYFUNCTION("""COMPUTED_VALUE"""),"R1 / R2")</f>
        <v>R1 / R2</v>
      </c>
      <c r="E321" s="2" t="str">
        <f>IFERROR(__xludf.DUMMYFUNCTION("""COMPUTED_VALUE"""),"Tool / Technology")</f>
        <v>Tool / Technology</v>
      </c>
      <c r="F321" s="2" t="str">
        <f>IFERROR(__xludf.DUMMYFUNCTION("""COMPUTED_VALUE"""),"recommendation")</f>
        <v>recommendation</v>
      </c>
      <c r="G321" s="3" t="str">
        <f>IFERROR(__xludf.DUMMYFUNCTION("""COMPUTED_VALUE"""),"So we support them to the Travis CI. We support them with a certain number of things, but if they want to choose something else, it's okay. I mean, but you know, they have to understand that we won't necessarily support them. ")</f>
        <v>So we support them to the Travis CI. We support them with a certain number of things, but if they want to choose something else, it's okay. I mean, but you know, they have to understand that we won't necessarily support them. </v>
      </c>
      <c r="H321" s="3" t="str">
        <f>IFERROR(__xludf.DUMMYFUNCTION("""COMPUTED_VALUE"""),"Give students the freedom to choose other tools they want, but make it clear that these tools will not be supported by teachers during the class")</f>
        <v>Give students the freedom to choose other tools they want, but make it clear that these tools will not be supported by teachers during the class</v>
      </c>
      <c r="I321" s="2" t="s">
        <v>785</v>
      </c>
    </row>
    <row r="322">
      <c r="A322" s="50" t="s">
        <v>3721</v>
      </c>
      <c r="B322" s="2">
        <f>IFERROR(__xludf.DUMMYFUNCTION("""COMPUTED_VALUE"""),12.0)</f>
        <v>12</v>
      </c>
      <c r="C322" s="2">
        <f>IFERROR(__xludf.DUMMYFUNCTION("""COMPUTED_VALUE"""),22.0)</f>
        <v>22</v>
      </c>
      <c r="D322" s="2" t="str">
        <f>IFERROR(__xludf.DUMMYFUNCTION("""COMPUTED_VALUE"""),"R2 / R3")</f>
        <v>R2 / R3</v>
      </c>
      <c r="E322" s="2" t="str">
        <f>IFERROR(__xludf.DUMMYFUNCTION("""COMPUTED_VALUE"""),"Tool / Technology")</f>
        <v>Tool / Technology</v>
      </c>
      <c r="F322" s="2" t="str">
        <f>IFERROR(__xludf.DUMMYFUNCTION("""COMPUTED_VALUE"""),"recommendation")</f>
        <v>recommendation</v>
      </c>
      <c r="G322" s="3" t="str">
        <f>IFERROR(__xludf.DUMMYFUNCTION("""COMPUTED_VALUE"""),"we're building a couple of tutorials so that, you know, the ones that have less experience with certainly the testing can look at it. ")</f>
        <v>we're building a couple of tutorials so that, you know, the ones that have less experience with certainly the testing can look at it. </v>
      </c>
      <c r="H322" s="3" t="str">
        <f>IFERROR(__xludf.DUMMYFUNCTION("""COMPUTED_VALUE"""),"we're building a couple of tutorials so that the ones that have less experience can look at it.")</f>
        <v>we're building a couple of tutorials so that the ones that have less experience can look at it.</v>
      </c>
      <c r="I322" s="2" t="s">
        <v>3722</v>
      </c>
    </row>
    <row r="323">
      <c r="A323" s="50" t="s">
        <v>3723</v>
      </c>
      <c r="B323" s="2">
        <f>IFERROR(__xludf.DUMMYFUNCTION("""COMPUTED_VALUE"""),12.0)</f>
        <v>12</v>
      </c>
      <c r="C323" s="2">
        <f>IFERROR(__xludf.DUMMYFUNCTION("""COMPUTED_VALUE"""),23.0)</f>
        <v>23</v>
      </c>
      <c r="D323" s="2" t="str">
        <f>IFERROR(__xludf.DUMMYFUNCTION("""COMPUTED_VALUE"""),"R1 / R3")</f>
        <v>R1 / R3</v>
      </c>
      <c r="E323" s="2" t="str">
        <f>IFERROR(__xludf.DUMMYFUNCTION("""COMPUTED_VALUE"""),"Tool / Technology")</f>
        <v>Tool / Technology</v>
      </c>
      <c r="F323" s="2" t="str">
        <f>IFERROR(__xludf.DUMMYFUNCTION("""COMPUTED_VALUE"""),"recommendation")</f>
        <v>recommendation</v>
      </c>
      <c r="G323" s="3" t="str">
        <f>IFERROR(__xludf.DUMMYFUNCTION("""COMPUTED_VALUE"""),"but with respect to the technologies, I think that knowledge is, will change [...] I think like one of the, uh, not too good to give it giving advices or, but I can share my experience and my thoughts. Um, I think that that's important to remember one thi"&amp;"ng as important as what is the objectives of your course.")</f>
        <v>but with respect to the technologies, I think that knowledge is, will change [...] I think like one of the, uh, not too good to give it giving advices or, but I can share my experience and my thoughts. Um, I think that that's important to remember one thing as important as what is the objectives of your course.</v>
      </c>
      <c r="H323" s="3" t="str">
        <f>IFERROR(__xludf.DUMMYFUNCTION("""COMPUTED_VALUE"""),"Constantly remember the students about the objective of the course.")</f>
        <v>Constantly remember the students about the objective of the course.</v>
      </c>
      <c r="I323" s="2" t="s">
        <v>3724</v>
      </c>
    </row>
    <row r="324">
      <c r="A324" s="50" t="s">
        <v>3725</v>
      </c>
      <c r="B324" s="2">
        <f>IFERROR(__xludf.DUMMYFUNCTION("""COMPUTED_VALUE"""),12.0)</f>
        <v>12</v>
      </c>
      <c r="C324" s="2">
        <f>IFERROR(__xludf.DUMMYFUNCTION("""COMPUTED_VALUE"""),24.0)</f>
        <v>24</v>
      </c>
      <c r="D324" s="2" t="str">
        <f>IFERROR(__xludf.DUMMYFUNCTION("""COMPUTED_VALUE"""),"R1 / R3")</f>
        <v>R1 / R3</v>
      </c>
      <c r="E324" s="2" t="str">
        <f>IFERROR(__xludf.DUMMYFUNCTION("""COMPUTED_VALUE"""),"Tool / Technology")</f>
        <v>Tool / Technology</v>
      </c>
      <c r="F324" s="2" t="str">
        <f>IFERROR(__xludf.DUMMYFUNCTION("""COMPUTED_VALUE"""),"recommendation")</f>
        <v>recommendation</v>
      </c>
      <c r="G324" s="3" t="str">
        <f>IFERROR(__xludf.DUMMYFUNCTION("""COMPUTED_VALUE"""),"first define the objectives of your course and making sure you stick to it")</f>
        <v>first define the objectives of your course and making sure you stick to it</v>
      </c>
      <c r="H324" s="3" t="str">
        <f>IFERROR(__xludf.DUMMYFUNCTION("""COMPUTED_VALUE"""),"Define clearly the objectives of your course and make sure you stick to it")</f>
        <v>Define clearly the objectives of your course and make sure you stick to it</v>
      </c>
      <c r="I324" s="2" t="s">
        <v>3726</v>
      </c>
    </row>
    <row r="325">
      <c r="A325" s="50" t="s">
        <v>3727</v>
      </c>
      <c r="B325" s="2">
        <f>IFERROR(__xludf.DUMMYFUNCTION("""COMPUTED_VALUE"""),12.0)</f>
        <v>12</v>
      </c>
      <c r="C325" s="2">
        <f>IFERROR(__xludf.DUMMYFUNCTION("""COMPUTED_VALUE"""),27.0)</f>
        <v>27</v>
      </c>
      <c r="D325" s="2" t="str">
        <f>IFERROR(__xludf.DUMMYFUNCTION("""COMPUTED_VALUE"""),"R2 / R3")</f>
        <v>R2 / R3</v>
      </c>
      <c r="E325" s="2" t="str">
        <f>IFERROR(__xludf.DUMMYFUNCTION("""COMPUTED_VALUE"""),"Tool / Technology")</f>
        <v>Tool / Technology</v>
      </c>
      <c r="F325" s="2" t="str">
        <f>IFERROR(__xludf.DUMMYFUNCTION("""COMPUTED_VALUE"""),"recommendation")</f>
        <v>recommendation</v>
      </c>
      <c r="G325" s="3" t="str">
        <f>IFERROR(__xludf.DUMMYFUNCTION("""COMPUTED_VALUE"""),"the lectures are more the, you know, sharing the experience and, and zooming in and some of the concepts.")</f>
        <v>the lectures are more the, you know, sharing the experience and, and zooming in and some of the concepts.</v>
      </c>
      <c r="H325" s="3" t="str">
        <f>IFERROR(__xludf.DUMMYFUNCTION("""COMPUTED_VALUE"""),"Use lectures to show case studies and emphasize in some of the DevOps concepts.")</f>
        <v>Use lectures to show case studies and emphasize in some of the DevOps concepts.</v>
      </c>
      <c r="I325" s="2" t="s">
        <v>3728</v>
      </c>
    </row>
    <row r="326">
      <c r="A326" s="50" t="s">
        <v>3729</v>
      </c>
      <c r="B326" s="2">
        <f>IFERROR(__xludf.DUMMYFUNCTION("""COMPUTED_VALUE"""),12.0)</f>
        <v>12</v>
      </c>
      <c r="C326" s="2">
        <f>IFERROR(__xludf.DUMMYFUNCTION("""COMPUTED_VALUE"""),27.0)</f>
        <v>27</v>
      </c>
      <c r="D326" s="2" t="str">
        <f>IFERROR(__xludf.DUMMYFUNCTION("""COMPUTED_VALUE"""),"R2 / R3")</f>
        <v>R2 / R3</v>
      </c>
      <c r="E326" s="2" t="str">
        <f>IFERROR(__xludf.DUMMYFUNCTION("""COMPUTED_VALUE"""),"Tool / Technology")</f>
        <v>Tool / Technology</v>
      </c>
      <c r="F326" s="2" t="str">
        <f>IFERROR(__xludf.DUMMYFUNCTION("""COMPUTED_VALUE"""),"recommendation")</f>
        <v>recommendation</v>
      </c>
      <c r="G326" s="3" t="str">
        <f>IFERROR(__xludf.DUMMYFUNCTION("""COMPUTED_VALUE"""),"make the students realize that the Kanban has certain information for a certain purpose. Um, if I want to analyze my process, I may extract information from the Kanban that will tell me about, you know, the time that I spent in the development phase or in"&amp;" the, in the review phase and things like that.")</f>
        <v>make the students realize that the Kanban has certain information for a certain purpose. Um, if I want to analyze my process, I may extract information from the Kanban that will tell me about, you know, the time that I spent in the development phase or in the, in the review phase and things like that.</v>
      </c>
      <c r="H326" s="3" t="str">
        <f>IFERROR(__xludf.DUMMYFUNCTION("""COMPUTED_VALUE"""),"Make the students realize that the Kanban has certain information for analyzing the overall process.")</f>
        <v>Make the students realize that the Kanban has certain information for analyzing the overall process.</v>
      </c>
      <c r="I326" s="2" t="s">
        <v>3730</v>
      </c>
    </row>
    <row r="327">
      <c r="A327" s="50" t="s">
        <v>3731</v>
      </c>
      <c r="B327" s="2">
        <f>IFERROR(__xludf.DUMMYFUNCTION("""COMPUTED_VALUE"""),12.0)</f>
        <v>12</v>
      </c>
      <c r="C327" s="2">
        <f>IFERROR(__xludf.DUMMYFUNCTION("""COMPUTED_VALUE"""),29.0)</f>
        <v>29</v>
      </c>
      <c r="D327" s="2" t="str">
        <f>IFERROR(__xludf.DUMMYFUNCTION("""COMPUTED_VALUE"""),"R1 / R3")</f>
        <v>R1 / R3</v>
      </c>
      <c r="E327" s="2" t="str">
        <f>IFERROR(__xludf.DUMMYFUNCTION("""COMPUTED_VALUE"""),"Tool / Technology")</f>
        <v>Tool / Technology</v>
      </c>
      <c r="F327" s="2" t="str">
        <f>IFERROR(__xludf.DUMMYFUNCTION("""COMPUTED_VALUE"""),"recommendation")</f>
        <v>recommendation</v>
      </c>
      <c r="G327" s="3" t="str">
        <f>IFERROR(__xludf.DUMMYFUNCTION("""COMPUTED_VALUE""")," the book I have quiz, uh, again, it could be translated and adjusted, but that's the way to, to test in the exams. ...  one part is exactly quiz questions. So they have multiple choices.")</f>
        <v> the book I have quiz, uh, again, it could be translated and adjusted, but that's the way to, to test in the exams. ...  one part is exactly quiz questions. So they have multiple choices.</v>
      </c>
      <c r="H327" s="3" t="str">
        <f>IFERROR(__xludf.DUMMYFUNCTION("""COMPUTED_VALUE"""),"Use quiz in the book to test in the exams with multiple choices.")</f>
        <v>Use quiz in the book to test in the exams with multiple choices.</v>
      </c>
      <c r="I327" s="2" t="s">
        <v>3732</v>
      </c>
    </row>
    <row r="328">
      <c r="A328" s="50" t="s">
        <v>3733</v>
      </c>
      <c r="B328" s="2">
        <f>IFERROR(__xludf.DUMMYFUNCTION("""COMPUTED_VALUE"""),12.0)</f>
        <v>12</v>
      </c>
      <c r="C328" s="2">
        <f>IFERROR(__xludf.DUMMYFUNCTION("""COMPUTED_VALUE"""),29.0)</f>
        <v>29</v>
      </c>
      <c r="D328" s="2" t="str">
        <f>IFERROR(__xludf.DUMMYFUNCTION("""COMPUTED_VALUE"""),"R1 / R3")</f>
        <v>R1 / R3</v>
      </c>
      <c r="E328" s="2" t="str">
        <f>IFERROR(__xludf.DUMMYFUNCTION("""COMPUTED_VALUE"""),"Tool / Technology")</f>
        <v>Tool / Technology</v>
      </c>
      <c r="F328" s="2" t="str">
        <f>IFERROR(__xludf.DUMMYFUNCTION("""COMPUTED_VALUE"""),"recommendation")</f>
        <v>recommendation</v>
      </c>
      <c r="G328" s="3" t="str">
        <f>IFERROR(__xludf.DUMMYFUNCTION("""COMPUTED_VALUE"""),"I give them two case studies, uh, so to see if they can analyze a given situation.")</f>
        <v>I give them two case studies, uh, so to see if they can analyze a given situation.</v>
      </c>
      <c r="H328" s="3" t="str">
        <f>IFERROR(__xludf.DUMMYFUNCTION("""COMPUTED_VALUE"""),"Give case studies to see if the students can analyze a given situation to test in the exams.")</f>
        <v>Give case studies to see if the students can analyze a given situation to test in the exams.</v>
      </c>
      <c r="I328" s="2" t="s">
        <v>1810</v>
      </c>
    </row>
    <row r="329">
      <c r="A329" s="50" t="s">
        <v>3734</v>
      </c>
      <c r="B329" s="2">
        <f>IFERROR(__xludf.DUMMYFUNCTION("""COMPUTED_VALUE"""),12.0)</f>
        <v>12</v>
      </c>
      <c r="C329" s="2">
        <f>IFERROR(__xludf.DUMMYFUNCTION("""COMPUTED_VALUE"""),30.0)</f>
        <v>30</v>
      </c>
      <c r="D329" s="2" t="str">
        <f>IFERROR(__xludf.DUMMYFUNCTION("""COMPUTED_VALUE"""),"R1 / R3")</f>
        <v>R1 / R3</v>
      </c>
      <c r="E329" s="2" t="str">
        <f>IFERROR(__xludf.DUMMYFUNCTION("""COMPUTED_VALUE"""),"DevOps Concepts")</f>
        <v>DevOps Concepts</v>
      </c>
      <c r="F329" s="2" t="str">
        <f>IFERROR(__xludf.DUMMYFUNCTION("""COMPUTED_VALUE"""),"recommendation")</f>
        <v>recommendation</v>
      </c>
      <c r="G329" s="3" t="str">
        <f>IFERROR(__xludf.DUMMYFUNCTION("""COMPUTED_VALUE""")," we use one of the topics in DevOps that becomes quite important is value stream mapping. So to be able to capture your process is pretty simple in terms of modeling as a flow of activities, value stream mapping is a technique that has been used for quite"&amp;" a long time and in production.")</f>
        <v> we use one of the topics in DevOps that becomes quite important is value stream mapping. So to be able to capture your process is pretty simple in terms of modeling as a flow of activities, value stream mapping is a technique that has been used for quite a long time and in production.</v>
      </c>
      <c r="H329" s="3" t="str">
        <f>IFERROR(__xludf.DUMMYFUNCTION("""COMPUTED_VALUE"""),"Be able to capture your DevOps process in terms of modeling as a flow of activities using value stream mapping technique.")</f>
        <v>Be able to capture your DevOps process in terms of modeling as a flow of activities using value stream mapping technique.</v>
      </c>
      <c r="I329" s="2" t="s">
        <v>3735</v>
      </c>
    </row>
    <row r="330">
      <c r="A330" s="50" t="s">
        <v>3736</v>
      </c>
      <c r="B330" s="2">
        <f>IFERROR(__xludf.DUMMYFUNCTION("""COMPUTED_VALUE"""),12.0)</f>
        <v>12</v>
      </c>
      <c r="C330" s="2">
        <f>IFERROR(__xludf.DUMMYFUNCTION("""COMPUTED_VALUE"""),31.0)</f>
        <v>31</v>
      </c>
      <c r="D330" s="2" t="str">
        <f>IFERROR(__xludf.DUMMYFUNCTION("""COMPUTED_VALUE"""),"R1 / R2")</f>
        <v>R1 / R2</v>
      </c>
      <c r="E330" s="2" t="str">
        <f>IFERROR(__xludf.DUMMYFUNCTION("""COMPUTED_VALUE"""),"DevOps Concepts")</f>
        <v>DevOps Concepts</v>
      </c>
      <c r="F330" s="2" t="str">
        <f>IFERROR(__xludf.DUMMYFUNCTION("""COMPUTED_VALUE"""),"recommendation")</f>
        <v>recommendation</v>
      </c>
      <c r="G330" s="3" t="str">
        <f>IFERROR(__xludf.DUMMYFUNCTION("""COMPUTED_VALUE"""),"it's not an analysis course, but I tried to bring it back regularly and say, okay, if you want to improve a process, whether you do so, it's one of the, one of the section in the book. And so it's okay. [...] you go from there to identify the, the points "&amp;"that could be improved, right. And then how do you want to improve it, then the techniques that are described in the book?")</f>
        <v>it's not an analysis course, but I tried to bring it back regularly and say, okay, if you want to improve a process, whether you do so, it's one of the, one of the section in the book. And so it's okay. [...] you go from there to identify the, the points that could be improved, right. And then how do you want to improve it, then the techniques that are described in the book?</v>
      </c>
      <c r="H330" s="3" t="str">
        <f>IFERROR(__xludf.DUMMYFUNCTION("""COMPUTED_VALUE"""),"Constantly try to figure out how to improve the quality of the course.")</f>
        <v>Constantly try to figure out how to improve the quality of the course.</v>
      </c>
      <c r="I330" s="2" t="s">
        <v>3737</v>
      </c>
    </row>
    <row r="331">
      <c r="A331" s="50" t="s">
        <v>3738</v>
      </c>
      <c r="B331" s="2">
        <f>IFERROR(__xludf.DUMMYFUNCTION("""COMPUTED_VALUE"""),12.0)</f>
        <v>12</v>
      </c>
      <c r="C331" s="2">
        <f>IFERROR(__xludf.DUMMYFUNCTION("""COMPUTED_VALUE"""),32.0)</f>
        <v>32</v>
      </c>
      <c r="D331" s="2" t="str">
        <f>IFERROR(__xludf.DUMMYFUNCTION("""COMPUTED_VALUE"""),"R2 / R3")</f>
        <v>R2 / R3</v>
      </c>
      <c r="E331" s="2" t="str">
        <f>IFERROR(__xludf.DUMMYFUNCTION("""COMPUTED_VALUE"""),"DevOps Concepts")</f>
        <v>DevOps Concepts</v>
      </c>
      <c r="F331" s="2" t="str">
        <f>IFERROR(__xludf.DUMMYFUNCTION("""COMPUTED_VALUE"""),"recommendation")</f>
        <v>recommendation</v>
      </c>
      <c r="G331" s="3" t="str">
        <f>IFERROR(__xludf.DUMMYFUNCTION("""COMPUTED_VALUE"""),"this mindset of thinking of continuous improvement is so important, right?  ... the improvement of the daily work is more important than the work itself.")</f>
        <v>this mindset of thinking of continuous improvement is so important, right?  ... the improvement of the daily work is more important than the work itself.</v>
      </c>
      <c r="H331" s="3" t="str">
        <f>IFERROR(__xludf.DUMMYFUNCTION("""COMPUTED_VALUE"""),"The mindset of thinking of continuous improvement is so important because the improvement of the daily work is more important than the work itself.")</f>
        <v>The mindset of thinking of continuous improvement is so important because the improvement of the daily work is more important than the work itself.</v>
      </c>
      <c r="I331" s="2" t="s">
        <v>3739</v>
      </c>
    </row>
    <row r="332">
      <c r="A332" s="50" t="s">
        <v>3740</v>
      </c>
      <c r="B332" s="2">
        <f>IFERROR(__xludf.DUMMYFUNCTION("""COMPUTED_VALUE"""),12.0)</f>
        <v>12</v>
      </c>
      <c r="C332" s="2">
        <f>IFERROR(__xludf.DUMMYFUNCTION("""COMPUTED_VALUE"""),33.0)</f>
        <v>33</v>
      </c>
      <c r="D332" s="2" t="str">
        <f>IFERROR(__xludf.DUMMYFUNCTION("""COMPUTED_VALUE"""),"R1 / R3")</f>
        <v>R1 / R3</v>
      </c>
      <c r="E332" s="2" t="str">
        <f>IFERROR(__xludf.DUMMYFUNCTION("""COMPUTED_VALUE"""),"DevOps Concepts")</f>
        <v>DevOps Concepts</v>
      </c>
      <c r="F332" s="2" t="str">
        <f>IFERROR(__xludf.DUMMYFUNCTION("""COMPUTED_VALUE"""),"recommendation")</f>
        <v>recommendation</v>
      </c>
      <c r="G332" s="3" t="str">
        <f>IFERROR(__xludf.DUMMYFUNCTION("""COMPUTED_VALUE""")," what should I improve to make my process more efficient? So to me, this is the most important thing of DevOps. And, and, and then you do it through automation, automation of, of the deployment process, automation of, of, you know, the testing process aut"&amp;"omation later of the security, uh, thing and so on.")</f>
        <v> what should I improve to make my process more efficient? So to me, this is the most important thing of DevOps. And, and, and then you do it through automation, automation of, of the deployment process, automation of, of, you know, the testing process automation later of the security, uh, thing and so on.</v>
      </c>
      <c r="H332" s="3" t="str">
        <f>IFERROR(__xludf.DUMMYFUNCTION("""COMPUTED_VALUE"""),"The most importart thing of DevOps is to improve my process continuously through automation of the deployment process.")</f>
        <v>The most importart thing of DevOps is to improve my process continuously through automation of the deployment process.</v>
      </c>
      <c r="I332" s="2" t="s">
        <v>3741</v>
      </c>
    </row>
    <row r="333">
      <c r="A333" s="50" t="s">
        <v>3742</v>
      </c>
      <c r="B333" s="2">
        <f>IFERROR(__xludf.DUMMYFUNCTION("""COMPUTED_VALUE"""),12.0)</f>
        <v>12</v>
      </c>
      <c r="C333" s="2">
        <f>IFERROR(__xludf.DUMMYFUNCTION("""COMPUTED_VALUE"""),38.0)</f>
        <v>38</v>
      </c>
      <c r="D333" s="2" t="str">
        <f>IFERROR(__xludf.DUMMYFUNCTION("""COMPUTED_VALUE"""),"R1 / R3")</f>
        <v>R1 / R3</v>
      </c>
      <c r="E333" s="2" t="str">
        <f>IFERROR(__xludf.DUMMYFUNCTION("""COMPUTED_VALUE"""),"Pedagogy")</f>
        <v>Pedagogy</v>
      </c>
      <c r="F333" s="2" t="str">
        <f>IFERROR(__xludf.DUMMYFUNCTION("""COMPUTED_VALUE"""),"recommendation")</f>
        <v>recommendation</v>
      </c>
      <c r="G333" s="3" t="str">
        <f>IFERROR(__xludf.DUMMYFUNCTION("""COMPUTED_VALUE"""),"the lectures, um, for the first part it's okay. I think for, until the midterm to have just get essentially through the book.")</f>
        <v>the lectures, um, for the first part it's okay. I think for, until the midterm to have just get essentially through the book.</v>
      </c>
      <c r="H333" s="3" t="str">
        <f>IFERROR(__xludf.DUMMYFUNCTION("""COMPUTED_VALUE"""),"Use DevOps Handbook to create the lectures.")</f>
        <v>Use DevOps Handbook to create the lectures.</v>
      </c>
      <c r="I333" s="2" t="s">
        <v>3743</v>
      </c>
    </row>
    <row r="334">
      <c r="A334" s="50" t="s">
        <v>3744</v>
      </c>
      <c r="B334" s="2">
        <f>IFERROR(__xludf.DUMMYFUNCTION("""COMPUTED_VALUE"""),12.0)</f>
        <v>12</v>
      </c>
      <c r="C334" s="2">
        <f>IFERROR(__xludf.DUMMYFUNCTION("""COMPUTED_VALUE"""),40.0)</f>
        <v>40</v>
      </c>
      <c r="D334" s="2" t="str">
        <f>IFERROR(__xludf.DUMMYFUNCTION("""COMPUTED_VALUE"""),"R1 / R3")</f>
        <v>R1 / R3</v>
      </c>
      <c r="E334" s="2" t="str">
        <f>IFERROR(__xludf.DUMMYFUNCTION("""COMPUTED_VALUE"""),"Pedagogy")</f>
        <v>Pedagogy</v>
      </c>
      <c r="F334" s="2" t="str">
        <f>IFERROR(__xludf.DUMMYFUNCTION("""COMPUTED_VALUE"""),"recommendation")</f>
        <v>recommendation</v>
      </c>
      <c r="G334" s="3" t="str">
        <f>IFERROR(__xludf.DUMMYFUNCTION("""COMPUTED_VALUE"""),"in some topics, maybe it's introducing a bit more. So say that you're getting in the topic in the, in the lecture where, um, containers are, are relevant and then deployment is relevant. Then maybe the way is to discuss a bit more maybe than use Kubernete"&amp;"s and Docker, give concrete examples and stuff like that that supports the reading that they have done. ")</f>
        <v>in some topics, maybe it's introducing a bit more. So say that you're getting in the topic in the, in the lecture where, um, containers are, are relevant and then deployment is relevant. Then maybe the way is to discuss a bit more maybe than use Kubernetes and Docker, give concrete examples and stuff like that that supports the reading that they have done. </v>
      </c>
      <c r="H334" s="3" t="str">
        <f>IFERROR(__xludf.DUMMYFUNCTION("""COMPUTED_VALUE"""),"Show concrete examples when you are presenting some tool like Kubernetes and Docker.")</f>
        <v>Show concrete examples when you are presenting some tool like Kubernetes and Docker.</v>
      </c>
      <c r="I334" s="2" t="s">
        <v>3745</v>
      </c>
    </row>
    <row r="335">
      <c r="A335" s="50" t="s">
        <v>3746</v>
      </c>
      <c r="B335" s="2">
        <f>IFERROR(__xludf.DUMMYFUNCTION("""COMPUTED_VALUE"""),12.0)</f>
        <v>12</v>
      </c>
      <c r="C335" s="2">
        <f>IFERROR(__xludf.DUMMYFUNCTION("""COMPUTED_VALUE"""),40.0)</f>
        <v>40</v>
      </c>
      <c r="D335" s="2" t="str">
        <f>IFERROR(__xludf.DUMMYFUNCTION("""COMPUTED_VALUE"""),"R1 / R3")</f>
        <v>R1 / R3</v>
      </c>
      <c r="E335" s="2" t="str">
        <f>IFERROR(__xludf.DUMMYFUNCTION("""COMPUTED_VALUE"""),"Pedagogy")</f>
        <v>Pedagogy</v>
      </c>
      <c r="F335" s="2" t="str">
        <f>IFERROR(__xludf.DUMMYFUNCTION("""COMPUTED_VALUE"""),"recommendation")</f>
        <v>recommendation</v>
      </c>
      <c r="G335" s="3" t="str">
        <f>IFERROR(__xludf.DUMMYFUNCTION("""COMPUTED_VALUE"""),"I'm thinking of bringing a couple of, um, industrial speakers as well to share their experience.")</f>
        <v>I'm thinking of bringing a couple of, um, industrial speakers as well to share their experience.</v>
      </c>
      <c r="H335" s="3" t="str">
        <f>IFERROR(__xludf.DUMMYFUNCTION("""COMPUTED_VALUE"""),"Try to bring industrial speakers to share their experience")</f>
        <v>Try to bring industrial speakers to share their experience</v>
      </c>
      <c r="I335" s="2" t="s">
        <v>809</v>
      </c>
    </row>
    <row r="336">
      <c r="A336" s="50" t="s">
        <v>3747</v>
      </c>
      <c r="B336" s="2">
        <f>IFERROR(__xludf.DUMMYFUNCTION("""COMPUTED_VALUE"""),12.0)</f>
        <v>12</v>
      </c>
      <c r="C336" s="2">
        <f>IFERROR(__xludf.DUMMYFUNCTION("""COMPUTED_VALUE"""),40.0)</f>
        <v>40</v>
      </c>
      <c r="D336" s="2" t="str">
        <f>IFERROR(__xludf.DUMMYFUNCTION("""COMPUTED_VALUE"""),"R1 / R3")</f>
        <v>R1 / R3</v>
      </c>
      <c r="E336" s="2" t="str">
        <f>IFERROR(__xludf.DUMMYFUNCTION("""COMPUTED_VALUE"""),"Pedagogy")</f>
        <v>Pedagogy</v>
      </c>
      <c r="F336" s="2" t="str">
        <f>IFERROR(__xludf.DUMMYFUNCTION("""COMPUTED_VALUE"""),"recommendation")</f>
        <v>recommendation</v>
      </c>
      <c r="G336" s="3" t="str">
        <f>IFERROR(__xludf.DUMMYFUNCTION("""COMPUTED_VALUE""")," having the book has a lot of case study and examples like Facebook, Google, LinkedIn, uh, Netflix, ")</f>
        <v> having the book has a lot of case study and examples like Facebook, Google, LinkedIn, uh, Netflix, </v>
      </c>
      <c r="H336" s="3" t="str">
        <f>IFERROR(__xludf.DUMMYFUNCTION("""COMPUTED_VALUE"""),"Find books like DevOps Handbook that have industrial case studies about Facebook, Google, etc")</f>
        <v>Find books like DevOps Handbook that have industrial case studies about Facebook, Google, etc</v>
      </c>
      <c r="I336" s="2" t="s">
        <v>3748</v>
      </c>
    </row>
    <row r="337">
      <c r="A337" s="50" t="s">
        <v>3749</v>
      </c>
      <c r="B337" s="2">
        <f>IFERROR(__xludf.DUMMYFUNCTION("""COMPUTED_VALUE"""),12.0)</f>
        <v>12</v>
      </c>
      <c r="C337" s="2">
        <f>IFERROR(__xludf.DUMMYFUNCTION("""COMPUTED_VALUE"""),44.0)</f>
        <v>44</v>
      </c>
      <c r="D337" s="2" t="str">
        <f>IFERROR(__xludf.DUMMYFUNCTION("""COMPUTED_VALUE"""),"R1 / R3")</f>
        <v>R1 / R3</v>
      </c>
      <c r="E337" s="2" t="str">
        <f>IFERROR(__xludf.DUMMYFUNCTION("""COMPUTED_VALUE"""),"Assessment")</f>
        <v>Assessment</v>
      </c>
      <c r="F337" s="2" t="str">
        <f>IFERROR(__xludf.DUMMYFUNCTION("""COMPUTED_VALUE"""),"recommendation")</f>
        <v>recommendation</v>
      </c>
      <c r="G337" s="3" t="str">
        <f>IFERROR(__xludf.DUMMYFUNCTION("""COMPUTED_VALUE""")," If I was asking you the question and say, give me the three benefits of this thought of this, uh, concept, then it's memorization. But if I give them five, if I give you five choices and they could be between zero and five, that are true statements with "&amp;"respect to this concept, it's not about memorization. It's about understanding,")</f>
        <v> If I was asking you the question and say, give me the three benefits of this thought of this, uh, concept, then it's memorization. But if I give them five, if I give you five choices and they could be between zero and five, that are true statements with respect to this concept, it's not about memorization. It's about understanding,</v>
      </c>
      <c r="H337" s="3" t="str">
        <f>IFERROR(__xludf.DUMMYFUNCTION("""COMPUTED_VALUE"""),"Multiple-choice format questions about DevOps concepts favor the understanding instead of memorization of the students.")</f>
        <v>Multiple-choice format questions about DevOps concepts favor the understanding instead of memorization of the students.</v>
      </c>
      <c r="I337" s="2" t="s">
        <v>3750</v>
      </c>
    </row>
    <row r="338">
      <c r="A338" s="50" t="s">
        <v>3751</v>
      </c>
      <c r="B338" s="2">
        <f>IFERROR(__xludf.DUMMYFUNCTION("""COMPUTED_VALUE"""),12.0)</f>
        <v>12</v>
      </c>
      <c r="C338" s="2">
        <f>IFERROR(__xludf.DUMMYFUNCTION("""COMPUTED_VALUE"""),48.0)</f>
        <v>48</v>
      </c>
      <c r="D338" s="2" t="str">
        <f>IFERROR(__xludf.DUMMYFUNCTION("""COMPUTED_VALUE"""),"R1 / R3")</f>
        <v>R1 / R3</v>
      </c>
      <c r="E338" s="2" t="str">
        <f>IFERROR(__xludf.DUMMYFUNCTION("""COMPUTED_VALUE"""),"Assessment")</f>
        <v>Assessment</v>
      </c>
      <c r="F338" s="2" t="str">
        <f>IFERROR(__xludf.DUMMYFUNCTION("""COMPUTED_VALUE"""),"recommendation")</f>
        <v>recommendation</v>
      </c>
      <c r="G338" s="3" t="str">
        <f>IFERROR(__xludf.DUMMYFUNCTION("""COMPUTED_VALUE"""),"if the exam is in presence, then I don't care that much if, if they do the control that before, because ultimately they have to understand, I think that these quizzes to me have a specific objective.")</f>
        <v>if the exam is in presence, then I don't care that much if, if they do the control that before, because ultimately they have to understand, I think that these quizzes to me have a specific objective.</v>
      </c>
      <c r="H338" s="3" t="str">
        <f>IFERROR(__xludf.DUMMYFUNCTION("""COMPUTED_VALUE"""),"Quizzes forces students to understand the concepts.")</f>
        <v>Quizzes forces students to understand the concepts.</v>
      </c>
      <c r="I338" s="2" t="s">
        <v>3752</v>
      </c>
    </row>
    <row r="339">
      <c r="A339" s="50" t="s">
        <v>3753</v>
      </c>
      <c r="B339" s="2">
        <f>IFERROR(__xludf.DUMMYFUNCTION("""COMPUTED_VALUE"""),12.0)</f>
        <v>12</v>
      </c>
      <c r="C339" s="2">
        <f>IFERROR(__xludf.DUMMYFUNCTION("""COMPUTED_VALUE"""),50.0)</f>
        <v>50</v>
      </c>
      <c r="D339" s="2" t="str">
        <f>IFERROR(__xludf.DUMMYFUNCTION("""COMPUTED_VALUE"""),"R1 / R3")</f>
        <v>R1 / R3</v>
      </c>
      <c r="E339" s="2" t="str">
        <f>IFERROR(__xludf.DUMMYFUNCTION("""COMPUTED_VALUE"""),"Curriculum")</f>
        <v>Curriculum</v>
      </c>
      <c r="F339" s="2" t="str">
        <f>IFERROR(__xludf.DUMMYFUNCTION("""COMPUTED_VALUE"""),"recommendation")</f>
        <v>recommendation</v>
      </c>
      <c r="G339" s="3" t="str">
        <f>IFERROR(__xludf.DUMMYFUNCTION("""COMPUTED_VALUE"""),"if you want to be able to experiment and, and to, to, to do the postmortem so that you can learn and you can solve issues and stuff")</f>
        <v>if you want to be able to experiment and, and to, to, to do the postmortem so that you can learn and you can solve issues and stuff</v>
      </c>
      <c r="H339" s="3" t="str">
        <f>IFERROR(__xludf.DUMMYFUNCTION("""COMPUTED_VALUE"""),"Make postmortem with the students can solve problems")</f>
        <v>Make postmortem with the students can solve problems</v>
      </c>
      <c r="I339" s="2" t="s">
        <v>3754</v>
      </c>
    </row>
    <row r="340">
      <c r="A340" s="50" t="s">
        <v>3755</v>
      </c>
      <c r="B340" s="2">
        <f>IFERROR(__xludf.DUMMYFUNCTION("""COMPUTED_VALUE"""),12.0)</f>
        <v>12</v>
      </c>
      <c r="C340" s="2">
        <f>IFERROR(__xludf.DUMMYFUNCTION("""COMPUTED_VALUE"""),50.0)</f>
        <v>50</v>
      </c>
      <c r="D340" s="2" t="str">
        <f>IFERROR(__xludf.DUMMYFUNCTION("""COMPUTED_VALUE"""),"R1 / R3")</f>
        <v>R1 / R3</v>
      </c>
      <c r="E340" s="2" t="str">
        <f>IFERROR(__xludf.DUMMYFUNCTION("""COMPUTED_VALUE"""),"Curriculum")</f>
        <v>Curriculum</v>
      </c>
      <c r="F340" s="2" t="str">
        <f>IFERROR(__xludf.DUMMYFUNCTION("""COMPUTED_VALUE"""),"recommendation")</f>
        <v>recommendation</v>
      </c>
      <c r="G340" s="3" t="str">
        <f>IFERROR(__xludf.DUMMYFUNCTION("""COMPUTED_VALUE"""),"I have to do more of this, um, story telling. ... I'm trying to share my experience with the students.")</f>
        <v>I have to do more of this, um, story telling. ... I'm trying to share my experience with the students.</v>
      </c>
      <c r="H340" s="3" t="str">
        <f>IFERROR(__xludf.DUMMYFUNCTION("""COMPUTED_VALUE"""),"Use story telling to share experience with the students.")</f>
        <v>Use story telling to share experience with the students.</v>
      </c>
      <c r="I340" s="2" t="s">
        <v>1840</v>
      </c>
    </row>
    <row r="341">
      <c r="A341" s="50" t="s">
        <v>3756</v>
      </c>
      <c r="B341" s="2">
        <f>IFERROR(__xludf.DUMMYFUNCTION("""COMPUTED_VALUE"""),12.0)</f>
        <v>12</v>
      </c>
      <c r="C341" s="2">
        <f>IFERROR(__xludf.DUMMYFUNCTION("""COMPUTED_VALUE"""),51.0)</f>
        <v>51</v>
      </c>
      <c r="D341" s="2" t="str">
        <f>IFERROR(__xludf.DUMMYFUNCTION("""COMPUTED_VALUE"""),"R1 / R2")</f>
        <v>R1 / R2</v>
      </c>
      <c r="E341" s="2" t="str">
        <f>IFERROR(__xludf.DUMMYFUNCTION("""COMPUTED_VALUE"""),"Curriculum")</f>
        <v>Curriculum</v>
      </c>
      <c r="F341" s="2" t="str">
        <f>IFERROR(__xludf.DUMMYFUNCTION("""COMPUTED_VALUE"""),"recommendation")</f>
        <v>recommendation</v>
      </c>
      <c r="G341" s="3" t="str">
        <f>IFERROR(__xludf.DUMMYFUNCTION("""COMPUTED_VALUE"""),"So people need to feel comfortable sharing, if they've made a mistake or not thinking that they're gonna have their headquarters. Right. Um, so when talking about that, if students have never worked in the context where, you know, people are blaming each "&amp;"other and stuff, it's difficult to understand I, to, to be concrete. And this is so crucial. ")</f>
        <v>So people need to feel comfortable sharing, if they've made a mistake or not thinking that they're gonna have their headquarters. Right. Um, so when talking about that, if students have never worked in the context where, you know, people are blaming each other and stuff, it's difficult to understand I, to, to be concrete. And this is so crucial. </v>
      </c>
      <c r="H341" s="3" t="str">
        <f>IFERROR(__xludf.DUMMYFUNCTION("""COMPUTED_VALUE"""),"Create an environment that students feel comfortable with sharing about their mistakes and learn how with their teammates")</f>
        <v>Create an environment that students feel comfortable with sharing about their mistakes and learn how with their teammates</v>
      </c>
      <c r="I341" s="2" t="s">
        <v>3757</v>
      </c>
    </row>
    <row r="342">
      <c r="A342" s="50" t="s">
        <v>3758</v>
      </c>
      <c r="B342" s="2">
        <f>IFERROR(__xludf.DUMMYFUNCTION("""COMPUTED_VALUE"""),12.0)</f>
        <v>12</v>
      </c>
      <c r="C342" s="2">
        <f>IFERROR(__xludf.DUMMYFUNCTION("""COMPUTED_VALUE"""),52.0)</f>
        <v>52</v>
      </c>
      <c r="D342" s="2" t="str">
        <f>IFERROR(__xludf.DUMMYFUNCTION("""COMPUTED_VALUE"""),"R2 / R3")</f>
        <v>R2 / R3</v>
      </c>
      <c r="E342" s="2" t="str">
        <f>IFERROR(__xludf.DUMMYFUNCTION("""COMPUTED_VALUE"""),"Curriculum")</f>
        <v>Curriculum</v>
      </c>
      <c r="F342" s="2" t="str">
        <f>IFERROR(__xludf.DUMMYFUNCTION("""COMPUTED_VALUE"""),"recommendation")</f>
        <v>recommendation</v>
      </c>
      <c r="G342" s="3" t="str">
        <f>IFERROR(__xludf.DUMMYFUNCTION("""COMPUTED_VALUE"""),"So that, I think it's one of our job to, to, to communicate with the student that it's not about the buzzword, this is something extremely serious. ")</f>
        <v>So that, I think it's one of our job to, to, to communicate with the student that it's not about the buzzword, this is something extremely serious. </v>
      </c>
      <c r="H342" s="3" t="str">
        <f>IFERROR(__xludf.DUMMYFUNCTION("""COMPUTED_VALUE"""),"It's important to communicate with students that DevOps is not buzzword, it is extremely serious.")</f>
        <v>It's important to communicate with students that DevOps is not buzzword, it is extremely serious.</v>
      </c>
      <c r="I342" s="2" t="s">
        <v>3759</v>
      </c>
    </row>
    <row r="343">
      <c r="A343" s="50" t="s">
        <v>3760</v>
      </c>
      <c r="B343" s="2">
        <f>IFERROR(__xludf.DUMMYFUNCTION("""COMPUTED_VALUE"""),13.0)</f>
        <v>13</v>
      </c>
      <c r="C343" s="2">
        <f>IFERROR(__xludf.DUMMYFUNCTION("""COMPUTED_VALUE"""),1.0)</f>
        <v>1</v>
      </c>
      <c r="D343" s="2" t="str">
        <f>IFERROR(__xludf.DUMMYFUNCTION("""COMPUTED_VALUE"""),"R1 / R2")</f>
        <v>R1 / R2</v>
      </c>
      <c r="E343" s="2" t="str">
        <f>IFERROR(__xludf.DUMMYFUNCTION("""COMPUTED_VALUE"""),"General Challenges and Recommendations")</f>
        <v>General Challenges and Recommendations</v>
      </c>
      <c r="F343" s="2" t="str">
        <f>IFERROR(__xludf.DUMMYFUNCTION("""COMPUTED_VALUE"""),"recommendation")</f>
        <v>recommendation</v>
      </c>
      <c r="G343" s="3" t="str">
        <f>IFERROR(__xludf.DUMMYFUNCTION("""COMPUTED_VALUE"""),"this course has a very specific structure, which is not usual. Uh, the structure is that, uh, everything. Um, I think you have access to our GitHub repository and everything is, uh, available.")</f>
        <v>this course has a very specific structure, which is not usual. Uh, the structure is that, uh, everything. Um, I think you have access to our GitHub repository and everything is, uh, available.</v>
      </c>
      <c r="H343" s="3" t="str">
        <f>IFERROR(__xludf.DUMMYFUNCTION("""COMPUTED_VALUE"""),"Make public access the content of the course using the GitHub.")</f>
        <v>Make public access the content of the course using the GitHub.</v>
      </c>
      <c r="I343" s="2" t="s">
        <v>3761</v>
      </c>
    </row>
    <row r="344">
      <c r="A344" s="50" t="s">
        <v>3762</v>
      </c>
      <c r="B344" s="2">
        <f>IFERROR(__xludf.DUMMYFUNCTION("""COMPUTED_VALUE"""),13.0)</f>
        <v>13</v>
      </c>
      <c r="C344" s="2">
        <f>IFERROR(__xludf.DUMMYFUNCTION("""COMPUTED_VALUE"""),2.0)</f>
        <v>2</v>
      </c>
      <c r="D344" s="2" t="str">
        <f>IFERROR(__xludf.DUMMYFUNCTION("""COMPUTED_VALUE"""),"R2 / R3")</f>
        <v>R2 / R3</v>
      </c>
      <c r="E344" s="2" t="str">
        <f>IFERROR(__xludf.DUMMYFUNCTION("""COMPUTED_VALUE"""),"General Challenges and Recommendations")</f>
        <v>General Challenges and Recommendations</v>
      </c>
      <c r="F344" s="2" t="str">
        <f>IFERROR(__xludf.DUMMYFUNCTION("""COMPUTED_VALUE"""),"recommendation")</f>
        <v>recommendation</v>
      </c>
      <c r="G344" s="3" t="str">
        <f>IFERROR(__xludf.DUMMYFUNCTION("""COMPUTED_VALUE"""),"students have to choose some topic and say, okay, we want to do a presentation on this topic. And that topic can be anything related to DevOps.")</f>
        <v>students have to choose some topic and say, okay, we want to do a presentation on this topic. And that topic can be anything related to DevOps.</v>
      </c>
      <c r="H344" s="3" t="str">
        <f>IFERROR(__xludf.DUMMYFUNCTION("""COMPUTED_VALUE"""),"Make students prepare a presentation about topics related to DevOps.")</f>
        <v>Make students prepare a presentation about topics related to DevOps.</v>
      </c>
      <c r="I344" s="2" t="s">
        <v>3763</v>
      </c>
    </row>
    <row r="345">
      <c r="A345" s="50" t="s">
        <v>3764</v>
      </c>
      <c r="B345" s="2">
        <f>IFERROR(__xludf.DUMMYFUNCTION("""COMPUTED_VALUE"""),13.0)</f>
        <v>13</v>
      </c>
      <c r="C345" s="2">
        <f>IFERROR(__xludf.DUMMYFUNCTION("""COMPUTED_VALUE"""),2.0)</f>
        <v>2</v>
      </c>
      <c r="D345" s="2" t="str">
        <f>IFERROR(__xludf.DUMMYFUNCTION("""COMPUTED_VALUE"""),"R2 / R3")</f>
        <v>R2 / R3</v>
      </c>
      <c r="E345" s="2" t="str">
        <f>IFERROR(__xludf.DUMMYFUNCTION("""COMPUTED_VALUE"""),"General Challenges and Recommendations")</f>
        <v>General Challenges and Recommendations</v>
      </c>
      <c r="F345" s="2" t="str">
        <f>IFERROR(__xludf.DUMMYFUNCTION("""COMPUTED_VALUE"""),"recommendation")</f>
        <v>recommendation</v>
      </c>
      <c r="G345" s="3" t="str">
        <f>IFERROR(__xludf.DUMMYFUNCTION("""COMPUTED_VALUE"""),"then do, um, do some research about it, write an essay or, uh, or if there is, um, there is a tool available, uh, on GitHub it's, if it's open source, they can contribute to that, uh, to that tool and maybe fix some issues and report it to the teachers.")</f>
        <v>then do, um, do some research about it, write an essay or, uh, or if there is, um, there is a tool available, uh, on GitHub it's, if it's open source, they can contribute to that, uh, to that tool and maybe fix some issues and report it to the teachers.</v>
      </c>
      <c r="H345" s="3" t="str">
        <f>IFERROR(__xludf.DUMMYFUNCTION("""COMPUTED_VALUE"""),"Do some research about DevOps topic, write an essay, and if the tool is open source, contribute to that tool and fix some issues and report it to the teachers.")</f>
        <v>Do some research about DevOps topic, write an essay, and if the tool is open source, contribute to that tool and fix some issues and report it to the teachers.</v>
      </c>
      <c r="I345" s="2" t="s">
        <v>3765</v>
      </c>
    </row>
    <row r="346">
      <c r="A346" s="50" t="s">
        <v>3766</v>
      </c>
      <c r="B346" s="2">
        <f>IFERROR(__xludf.DUMMYFUNCTION("""COMPUTED_VALUE"""),13.0)</f>
        <v>13</v>
      </c>
      <c r="C346" s="2">
        <f>IFERROR(__xludf.DUMMYFUNCTION("""COMPUTED_VALUE"""),5.0)</f>
        <v>5</v>
      </c>
      <c r="D346" s="2" t="str">
        <f>IFERROR(__xludf.DUMMYFUNCTION("""COMPUTED_VALUE"""),"R1 / R3")</f>
        <v>R1 / R3</v>
      </c>
      <c r="E346" s="2" t="str">
        <f>IFERROR(__xludf.DUMMYFUNCTION("""COMPUTED_VALUE"""),"General Challenges and Recommendations")</f>
        <v>General Challenges and Recommendations</v>
      </c>
      <c r="F346" s="2" t="str">
        <f>IFERROR(__xludf.DUMMYFUNCTION("""COMPUTED_VALUE"""),"recommendation")</f>
        <v>recommendation</v>
      </c>
      <c r="G346" s="3" t="str">
        <f>IFERROR(__xludf.DUMMYFUNCTION("""COMPUTED_VALUE"""),"everyone who wanted to present a tool or to do a demo or anything else they could give, uh, get some feedback from other students.")</f>
        <v>everyone who wanted to present a tool or to do a demo or anything else they could give, uh, get some feedback from other students.</v>
      </c>
      <c r="H346" s="3" t="str">
        <f>IFERROR(__xludf.DUMMYFUNCTION("""COMPUTED_VALUE"""),"Students can present a tool or do a demo to get some feedback from others during the classes.")</f>
        <v>Students can present a tool or do a demo to get some feedback from others during the classes.</v>
      </c>
      <c r="I346" s="2" t="s">
        <v>3767</v>
      </c>
    </row>
    <row r="347">
      <c r="A347" s="50" t="s">
        <v>3768</v>
      </c>
      <c r="B347" s="2">
        <f>IFERROR(__xludf.DUMMYFUNCTION("""COMPUTED_VALUE"""),13.0)</f>
        <v>13</v>
      </c>
      <c r="C347" s="2">
        <f>IFERROR(__xludf.DUMMYFUNCTION("""COMPUTED_VALUE"""),6.0)</f>
        <v>6</v>
      </c>
      <c r="D347" s="2" t="str">
        <f>IFERROR(__xludf.DUMMYFUNCTION("""COMPUTED_VALUE"""),"R1 / R2")</f>
        <v>R1 / R2</v>
      </c>
      <c r="E347" s="2" t="str">
        <f>IFERROR(__xludf.DUMMYFUNCTION("""COMPUTED_VALUE"""),"General Challenges and Recommendations")</f>
        <v>General Challenges and Recommendations</v>
      </c>
      <c r="F347" s="2" t="str">
        <f>IFERROR(__xludf.DUMMYFUNCTION("""COMPUTED_VALUE"""),"recommendation")</f>
        <v>recommendation</v>
      </c>
      <c r="G347" s="3" t="str">
        <f>IFERROR(__xludf.DUMMYFUNCTION("""COMPUTED_VALUE"""),"we can have people, uh, there, there are, uh, there are everywhere that we can invite and, uh, let the students know what is going on in practice, not just some, uh, theoretical, uh, problem. ")</f>
        <v>we can have people, uh, there, there are, uh, there are everywhere that we can invite and, uh, let the students know what is going on in practice, not just some, uh, theoretical, uh, problem. </v>
      </c>
      <c r="H347" s="3" t="str">
        <f>IFERROR(__xludf.DUMMYFUNCTION("""COMPUTED_VALUE"""),"Invite people to show students what's going on in practice, not only in theoretical problems")</f>
        <v>Invite people to show students what's going on in practice, not only in theoretical problems</v>
      </c>
      <c r="I347" s="2" t="s">
        <v>3769</v>
      </c>
    </row>
    <row r="348">
      <c r="A348" s="50" t="s">
        <v>3770</v>
      </c>
      <c r="B348" s="2">
        <f>IFERROR(__xludf.DUMMYFUNCTION("""COMPUTED_VALUE"""),13.0)</f>
        <v>13</v>
      </c>
      <c r="C348" s="2">
        <f>IFERROR(__xludf.DUMMYFUNCTION("""COMPUTED_VALUE"""),7.0)</f>
        <v>7</v>
      </c>
      <c r="D348" s="2" t="str">
        <f>IFERROR(__xludf.DUMMYFUNCTION("""COMPUTED_VALUE"""),"R2 / R3")</f>
        <v>R2 / R3</v>
      </c>
      <c r="E348" s="2" t="str">
        <f>IFERROR(__xludf.DUMMYFUNCTION("""COMPUTED_VALUE"""),"Environment Setup")</f>
        <v>Environment Setup</v>
      </c>
      <c r="F348" s="2" t="str">
        <f>IFERROR(__xludf.DUMMYFUNCTION("""COMPUTED_VALUE"""),"recommendation")</f>
        <v>recommendation</v>
      </c>
      <c r="G348" s="3" t="str">
        <f>IFERROR(__xludf.DUMMYFUNCTION("""COMPUTED_VALUE""")," we asked them to choose a tool, uh, on internet and new tool, and then use that tool and show other students how that works. So, uh, we didn't have some predefined, uh, projects.")</f>
        <v> we asked them to choose a tool, uh, on internet and new tool, and then use that tool and show other students how that works. So, uh, we didn't have some predefined, uh, projects.</v>
      </c>
      <c r="H348" s="3" t="str">
        <f>IFERROR(__xludf.DUMMYFUNCTION("""COMPUTED_VALUE"""),"The students choose the tools and the projects freely on internet.")</f>
        <v>The students choose the tools and the projects freely on internet.</v>
      </c>
      <c r="I348" s="2" t="s">
        <v>3771</v>
      </c>
    </row>
    <row r="349">
      <c r="A349" s="50" t="s">
        <v>3772</v>
      </c>
      <c r="B349" s="2">
        <f>IFERROR(__xludf.DUMMYFUNCTION("""COMPUTED_VALUE"""),13.0)</f>
        <v>13</v>
      </c>
      <c r="C349" s="2">
        <f>IFERROR(__xludf.DUMMYFUNCTION("""COMPUTED_VALUE"""),8.0)</f>
        <v>8</v>
      </c>
      <c r="D349" s="2" t="str">
        <f>IFERROR(__xludf.DUMMYFUNCTION("""COMPUTED_VALUE"""),"R1 / R3")</f>
        <v>R1 / R3</v>
      </c>
      <c r="E349" s="2" t="str">
        <f>IFERROR(__xludf.DUMMYFUNCTION("""COMPUTED_VALUE"""),"Environment Setup")</f>
        <v>Environment Setup</v>
      </c>
      <c r="F349" s="2" t="str">
        <f>IFERROR(__xludf.DUMMYFUNCTION("""COMPUTED_VALUE"""),"recommendation")</f>
        <v>recommendation</v>
      </c>
      <c r="G349" s="3" t="str">
        <f>IFERROR(__xludf.DUMMYFUNCTION("""COMPUTED_VALUE""")," So, uh, we didn't have some predefined, uh, projects, and as we can, yes, this was a bigger problem for us.")</f>
        <v> So, uh, we didn't have some predefined, uh, projects, and as we can, yes, this was a bigger problem for us.</v>
      </c>
      <c r="H349" s="3" t="str">
        <f>IFERROR(__xludf.DUMMYFUNCTION("""COMPUTED_VALUE"""),"Not predefined projects is dangerous for the organization of the course.")</f>
        <v>Not predefined projects is dangerous for the organization of the course.</v>
      </c>
      <c r="I349" s="2" t="s">
        <v>829</v>
      </c>
    </row>
    <row r="350">
      <c r="A350" s="50" t="s">
        <v>3773</v>
      </c>
      <c r="B350" s="2">
        <f>IFERROR(__xludf.DUMMYFUNCTION("""COMPUTED_VALUE"""),13.0)</f>
        <v>13</v>
      </c>
      <c r="C350" s="2">
        <f>IFERROR(__xludf.DUMMYFUNCTION("""COMPUTED_VALUE"""),8.0)</f>
        <v>8</v>
      </c>
      <c r="D350" s="2" t="str">
        <f>IFERROR(__xludf.DUMMYFUNCTION("""COMPUTED_VALUE"""),"R1 / R3")</f>
        <v>R1 / R3</v>
      </c>
      <c r="E350" s="2" t="str">
        <f>IFERROR(__xludf.DUMMYFUNCTION("""COMPUTED_VALUE"""),"Environment Setup")</f>
        <v>Environment Setup</v>
      </c>
      <c r="F350" s="2" t="str">
        <f>IFERROR(__xludf.DUMMYFUNCTION("""COMPUTED_VALUE"""),"recommendation")</f>
        <v>recommendation</v>
      </c>
      <c r="G350" s="3" t="str">
        <f>IFERROR(__xludf.DUMMYFUNCTION("""COMPUTED_VALUE"""),"in fact, some of them, we asked them to, um, to, if they wanted to do a tutorial on a tool, we ask them to upload that tutorial on, uh, Katacoda. ")</f>
        <v>in fact, some of them, we asked them to, um, to, if they wanted to do a tutorial on a tool, we ask them to upload that tutorial on, uh, Katacoda. </v>
      </c>
      <c r="H350" s="3" t="str">
        <f>IFERROR(__xludf.DUMMYFUNCTION("""COMPUTED_VALUE"""),"Use the Katacoda website to students create tutorials about tools.")</f>
        <v>Use the Katacoda website to students create tutorials about tools.</v>
      </c>
      <c r="I350" s="2" t="s">
        <v>3774</v>
      </c>
    </row>
    <row r="351">
      <c r="A351" s="50" t="s">
        <v>3775</v>
      </c>
      <c r="B351" s="2">
        <f>IFERROR(__xludf.DUMMYFUNCTION("""COMPUTED_VALUE"""),13.0)</f>
        <v>13</v>
      </c>
      <c r="C351" s="2">
        <f>IFERROR(__xludf.DUMMYFUNCTION("""COMPUTED_VALUE"""),10.0)</f>
        <v>10</v>
      </c>
      <c r="D351" s="2" t="str">
        <f>IFERROR(__xludf.DUMMYFUNCTION("""COMPUTED_VALUE"""),"R1 / R3")</f>
        <v>R1 / R3</v>
      </c>
      <c r="E351" s="2" t="str">
        <f>IFERROR(__xludf.DUMMYFUNCTION("""COMPUTED_VALUE"""),"Environment Setup")</f>
        <v>Environment Setup</v>
      </c>
      <c r="F351" s="2" t="str">
        <f>IFERROR(__xludf.DUMMYFUNCTION("""COMPUTED_VALUE"""),"recommendation")</f>
        <v>recommendation</v>
      </c>
      <c r="G351" s="3" t="str">
        <f>IFERROR(__xludf.DUMMYFUNCTION("""COMPUTED_VALUE"""),"So we asked the students, uh, to, uh, use another tool if they want to present something that doesn't work on katacoda. So, uh, the way that we solved it was to change the requirements and to change the, uh, change the environment and the tools that they "&amp;"had to use.")</f>
        <v>So we asked the students, uh, to, uh, use another tool if they want to present something that doesn't work on katacoda. So, uh, the way that we solved it was to change the requirements and to change the, uh, change the environment and the tools that they had to use.</v>
      </c>
      <c r="H351" s="3" t="str">
        <f>IFERROR(__xludf.DUMMYFUNCTION("""COMPUTED_VALUE"""),"Change the requirements and the tools to solve the issues in environment setup on Katacoda.")</f>
        <v>Change the requirements and the tools to solve the issues in environment setup on Katacoda.</v>
      </c>
      <c r="I351" s="2" t="s">
        <v>833</v>
      </c>
    </row>
    <row r="352">
      <c r="A352" s="50" t="s">
        <v>3776</v>
      </c>
      <c r="B352" s="2">
        <f>IFERROR(__xludf.DUMMYFUNCTION("""COMPUTED_VALUE"""),13.0)</f>
        <v>13</v>
      </c>
      <c r="C352" s="2">
        <f>IFERROR(__xludf.DUMMYFUNCTION("""COMPUTED_VALUE"""),11.0)</f>
        <v>11</v>
      </c>
      <c r="D352" s="2" t="str">
        <f>IFERROR(__xludf.DUMMYFUNCTION("""COMPUTED_VALUE"""),"R1 / R2")</f>
        <v>R1 / R2</v>
      </c>
      <c r="E352" s="2" t="str">
        <f>IFERROR(__xludf.DUMMYFUNCTION("""COMPUTED_VALUE"""),"Tool / Technology")</f>
        <v>Tool / Technology</v>
      </c>
      <c r="F352" s="2" t="str">
        <f>IFERROR(__xludf.DUMMYFUNCTION("""COMPUTED_VALUE"""),"recommendation")</f>
        <v>recommendation</v>
      </c>
      <c r="G352" s="3" t="str">
        <f>IFERROR(__xludf.DUMMYFUNCTION("""COMPUTED_VALUE"""),"just find whatever they want to find and work on whatever they want to work on and let them be free since that was our goal in this course, uh, we let them choose, um, novel technologies, the technologies and the tools that are being used, uh, today and t"&amp;"he tools that are being developed today. ")</f>
        <v>just find whatever they want to find and work on whatever they want to work on and let them be free since that was our goal in this course, uh, we let them choose, um, novel technologies, the technologies and the tools that are being used, uh, today and the tools that are being developed today. </v>
      </c>
      <c r="H352" s="3" t="str">
        <f>IFERROR(__xludf.DUMMYFUNCTION("""COMPUTED_VALUE"""),"Let the students be free about the used tools and technologies.")</f>
        <v>Let the students be free about the used tools and technologies.</v>
      </c>
      <c r="I352" s="2" t="s">
        <v>3777</v>
      </c>
    </row>
    <row r="353">
      <c r="A353" s="50" t="s">
        <v>3778</v>
      </c>
      <c r="B353" s="2">
        <f>IFERROR(__xludf.DUMMYFUNCTION("""COMPUTED_VALUE"""),13.0)</f>
        <v>13</v>
      </c>
      <c r="C353" s="2">
        <f>IFERROR(__xludf.DUMMYFUNCTION("""COMPUTED_VALUE"""),12.0)</f>
        <v>12</v>
      </c>
      <c r="D353" s="2" t="str">
        <f>IFERROR(__xludf.DUMMYFUNCTION("""COMPUTED_VALUE"""),"R2 / R3")</f>
        <v>R2 / R3</v>
      </c>
      <c r="E353" s="2" t="str">
        <f>IFERROR(__xludf.DUMMYFUNCTION("""COMPUTED_VALUE"""),"DevOps Concepts")</f>
        <v>DevOps Concepts</v>
      </c>
      <c r="F353" s="2" t="str">
        <f>IFERROR(__xludf.DUMMYFUNCTION("""COMPUTED_VALUE"""),"recommendation")</f>
        <v>recommendation</v>
      </c>
      <c r="G353" s="3" t="str">
        <f>IFERROR(__xludf.DUMMYFUNCTION("""COMPUTED_VALUE"""),"many of them did was to engage in the, uh, in the development process of the, uh, of the large projects that other people are working on. And, uh, they could choose a project, I think with more than a hundred stars. ...  And they had to make sure that the"&amp;"y pass all the, uh, all the steps and they had to do some contributions, but to there, to those for repositories. And, uh, and they had to also engage in a conversation with other people from other teams, uh, in the process that, uh, they were, uh, making"&amp;" those contributions.
")</f>
        <v>many of them did was to engage in the, uh, in the development process of the, uh, of the large projects that other people are working on. And, uh, they could choose a project, I think with more than a hundred stars. ...  And they had to make sure that they pass all the, uh, all the steps and they had to do some contributions, but to there, to those for repositories. And, uh, and they had to also engage in a conversation with other people from other teams, uh, in the process that, uh, they were, uh, making those contributions.
</v>
      </c>
      <c r="H353" s="3" t="str">
        <f>IFERROR(__xludf.DUMMYFUNCTION("""COMPUTED_VALUE"""),"The students should contribute and engage in the development process of the large projects with more than a hundred stars on Github.")</f>
        <v>The students should contribute and engage in the development process of the large projects with more than a hundred stars on Github.</v>
      </c>
      <c r="I353" s="2" t="s">
        <v>3779</v>
      </c>
    </row>
    <row r="354">
      <c r="A354" s="50" t="s">
        <v>3780</v>
      </c>
      <c r="B354" s="2">
        <f>IFERROR(__xludf.DUMMYFUNCTION("""COMPUTED_VALUE"""),13.0)</f>
        <v>13</v>
      </c>
      <c r="C354" s="2">
        <f>IFERROR(__xludf.DUMMYFUNCTION("""COMPUTED_VALUE"""),12.0)</f>
        <v>12</v>
      </c>
      <c r="D354" s="2" t="str">
        <f>IFERROR(__xludf.DUMMYFUNCTION("""COMPUTED_VALUE"""),"R2 / R3")</f>
        <v>R2 / R3</v>
      </c>
      <c r="E354" s="2" t="str">
        <f>IFERROR(__xludf.DUMMYFUNCTION("""COMPUTED_VALUE"""),"DevOps Concepts")</f>
        <v>DevOps Concepts</v>
      </c>
      <c r="F354" s="2" t="str">
        <f>IFERROR(__xludf.DUMMYFUNCTION("""COMPUTED_VALUE"""),"recommendation")</f>
        <v>recommendation</v>
      </c>
      <c r="G354" s="3" t="str">
        <f>IFERROR(__xludf.DUMMYFUNCTION("""COMPUTED_VALUE"""),"and they had to also engage in a conversation with other people from other teams, uh, in the process that, uh, they were, uh, making those contributions.
")</f>
        <v>and they had to also engage in a conversation with other people from other teams, uh, in the process that, uh, they were, uh, making those contributions.
</v>
      </c>
      <c r="H354" s="3" t="str">
        <f>IFERROR(__xludf.DUMMYFUNCTION("""COMPUTED_VALUE"""),"Make students engage with people from other teams in the classes.")</f>
        <v>Make students engage with people from other teams in the classes.</v>
      </c>
      <c r="I354" s="2" t="s">
        <v>3781</v>
      </c>
    </row>
    <row r="355">
      <c r="A355" s="50" t="s">
        <v>3782</v>
      </c>
      <c r="B355" s="2">
        <f>IFERROR(__xludf.DUMMYFUNCTION("""COMPUTED_VALUE"""),13.0)</f>
        <v>13</v>
      </c>
      <c r="C355" s="2">
        <f>IFERROR(__xludf.DUMMYFUNCTION("""COMPUTED_VALUE"""),13.0)</f>
        <v>13</v>
      </c>
      <c r="D355" s="2" t="str">
        <f>IFERROR(__xludf.DUMMYFUNCTION("""COMPUTED_VALUE"""),"R1 / R3")</f>
        <v>R1 / R3</v>
      </c>
      <c r="E355" s="2" t="str">
        <f>IFERROR(__xludf.DUMMYFUNCTION("""COMPUTED_VALUE"""),"DevOps Concepts")</f>
        <v>DevOps Concepts</v>
      </c>
      <c r="F355" s="2" t="str">
        <f>IFERROR(__xludf.DUMMYFUNCTION("""COMPUTED_VALUE"""),"recommendation")</f>
        <v>recommendation</v>
      </c>
      <c r="G355" s="3" t="str">
        <f>IFERROR(__xludf.DUMMYFUNCTION("""COMPUTED_VALUE"""),"other task that we ask them to do something for our own course, and, uh, then, uh, engage in a conversation with TAs and other students to make sure everything's more work well.")</f>
        <v>other task that we ask them to do something for our own course, and, uh, then, uh, engage in a conversation with TAs and other students to make sure everything's more work well.</v>
      </c>
      <c r="H355" s="3" t="str">
        <f>IFERROR(__xludf.DUMMYFUNCTION("""COMPUTED_VALUE"""),"Engage in a conversation with teacher assistants and other students to make sure everything's more work well.")</f>
        <v>Engage in a conversation with teacher assistants and other students to make sure everything's more work well.</v>
      </c>
      <c r="I355" s="2" t="s">
        <v>3783</v>
      </c>
    </row>
    <row r="356">
      <c r="A356" s="50" t="s">
        <v>3784</v>
      </c>
      <c r="B356" s="2">
        <f>IFERROR(__xludf.DUMMYFUNCTION("""COMPUTED_VALUE"""),13.0)</f>
        <v>13</v>
      </c>
      <c r="C356" s="2">
        <f>IFERROR(__xludf.DUMMYFUNCTION("""COMPUTED_VALUE"""),14.0)</f>
        <v>14</v>
      </c>
      <c r="D356" s="2" t="str">
        <f>IFERROR(__xludf.DUMMYFUNCTION("""COMPUTED_VALUE"""),"R1 / R3")</f>
        <v>R1 / R3</v>
      </c>
      <c r="E356" s="2" t="str">
        <f>IFERROR(__xludf.DUMMYFUNCTION("""COMPUTED_VALUE"""),"Class Preparation")</f>
        <v>Class Preparation</v>
      </c>
      <c r="F356" s="2" t="str">
        <f>IFERROR(__xludf.DUMMYFUNCTION("""COMPUTED_VALUE"""),"recommendation")</f>
        <v>recommendation</v>
      </c>
      <c r="G356" s="3" t="str">
        <f>IFERROR(__xludf.DUMMYFUNCTION("""COMPUTED_VALUE""")," the lectures were not, uh, were not presented by the teachers. They were presented by the people who are, who were from the industry and invited to the, uh, to the course to present something for students.")</f>
        <v> the lectures were not, uh, were not presented by the teachers. They were presented by the people who are, who were from the industry and invited to the, uh, to the course to present something for students.</v>
      </c>
      <c r="H356" s="3" t="str">
        <f>IFERROR(__xludf.DUMMYFUNCTION("""COMPUTED_VALUE"""),"The lectures could be presented by people who were from the industry.")</f>
        <v>The lectures could be presented by people who were from the industry.</v>
      </c>
      <c r="I356" s="2" t="s">
        <v>3785</v>
      </c>
    </row>
    <row r="357">
      <c r="A357" s="50" t="s">
        <v>3786</v>
      </c>
      <c r="B357" s="2">
        <f>IFERROR(__xludf.DUMMYFUNCTION("""COMPUTED_VALUE"""),13.0)</f>
        <v>13</v>
      </c>
      <c r="C357" s="2">
        <f>IFERROR(__xludf.DUMMYFUNCTION("""COMPUTED_VALUE"""),15.0)</f>
        <v>15</v>
      </c>
      <c r="D357" s="2" t="str">
        <f>IFERROR(__xludf.DUMMYFUNCTION("""COMPUTED_VALUE"""),"R1 / R3")</f>
        <v>R1 / R3</v>
      </c>
      <c r="E357" s="2" t="str">
        <f>IFERROR(__xludf.DUMMYFUNCTION("""COMPUTED_VALUE"""),"Class Preparation")</f>
        <v>Class Preparation</v>
      </c>
      <c r="F357" s="2" t="str">
        <f>IFERROR(__xludf.DUMMYFUNCTION("""COMPUTED_VALUE"""),"recommendation")</f>
        <v>recommendation</v>
      </c>
      <c r="G357" s="3" t="str">
        <f>IFERROR(__xludf.DUMMYFUNCTION("""COMPUTED_VALUE"""),"we had to do as TAs and other things I think, uh, we, it's not, uh, only before the lecture, but during the whole, uh, time that this, uh, this course was, uh, going on, we had to check the, uh, check the github. And, um, students had, since they had to m"&amp;"ake some contributions, uh, we had to make sure that their contributions, uh, could pass all the checks that we had. [...] So we had to check that they were doing what they were supposed to do before the lectures, during the lectures and after it. So that"&amp;" was our, uh, our role in this course.")</f>
        <v>we had to do as TAs and other things I think, uh, we, it's not, uh, only before the lecture, but during the whole, uh, time that this, uh, this course was, uh, going on, we had to check the, uh, check the github. And, um, students had, since they had to make some contributions, uh, we had to make sure that their contributions, uh, could pass all the checks that we had. [...] So we had to check that they were doing what they were supposed to do before the lectures, during the lectures and after it. So that was our, uh, our role in this course.</v>
      </c>
      <c r="H357" s="3" t="str">
        <f>IFERROR(__xludf.DUMMYFUNCTION("""COMPUTED_VALUE"""),"Teacher assistants check if students contributions pass all the roles of the course.")</f>
        <v>Teacher assistants check if students contributions pass all the roles of the course.</v>
      </c>
      <c r="I357" s="2" t="s">
        <v>3787</v>
      </c>
    </row>
    <row r="358">
      <c r="A358" s="50" t="s">
        <v>3788</v>
      </c>
      <c r="B358" s="2">
        <f>IFERROR(__xludf.DUMMYFUNCTION("""COMPUTED_VALUE"""),13.0)</f>
        <v>13</v>
      </c>
      <c r="C358" s="2">
        <f>IFERROR(__xludf.DUMMYFUNCTION("""COMPUTED_VALUE"""),15.0)</f>
        <v>15</v>
      </c>
      <c r="D358" s="2" t="str">
        <f>IFERROR(__xludf.DUMMYFUNCTION("""COMPUTED_VALUE"""),"R1 / R3")</f>
        <v>R1 / R3</v>
      </c>
      <c r="E358" s="2" t="str">
        <f>IFERROR(__xludf.DUMMYFUNCTION("""COMPUTED_VALUE"""),"Class Preparation")</f>
        <v>Class Preparation</v>
      </c>
      <c r="F358" s="2" t="str">
        <f>IFERROR(__xludf.DUMMYFUNCTION("""COMPUTED_VALUE"""),"recommendation")</f>
        <v>recommendation</v>
      </c>
      <c r="G358" s="3" t="str">
        <f>IFERROR(__xludf.DUMMYFUNCTION("""COMPUTED_VALUE"""),"we had a long Google doc that the students during the lectures and after the lectures, students could add their questions there. And then we, the TAs could answer the questions, uh, in the doc. ")</f>
        <v>we had a long Google doc that the students during the lectures and after the lectures, students could add their questions there. And then we, the TAs could answer the questions, uh, in the doc. </v>
      </c>
      <c r="H358" s="3" t="str">
        <f>IFERROR(__xludf.DUMMYFUNCTION("""COMPUTED_VALUE"""),"Use Google Docs during the lectures so students could add their questions. Teacher Assistants could answer the questions in the doc.")</f>
        <v>Use Google Docs during the lectures so students could add their questions. Teacher Assistants could answer the questions in the doc.</v>
      </c>
      <c r="I358" s="2" t="s">
        <v>3789</v>
      </c>
    </row>
    <row r="359">
      <c r="A359" s="50" t="s">
        <v>3790</v>
      </c>
      <c r="B359" s="2">
        <f>IFERROR(__xludf.DUMMYFUNCTION("""COMPUTED_VALUE"""),13.0)</f>
        <v>13</v>
      </c>
      <c r="C359" s="2">
        <f>IFERROR(__xludf.DUMMYFUNCTION("""COMPUTED_VALUE"""),16.0)</f>
        <v>16</v>
      </c>
      <c r="D359" s="2" t="str">
        <f>IFERROR(__xludf.DUMMYFUNCTION("""COMPUTED_VALUE"""),"R1 / R2")</f>
        <v>R1 / R2</v>
      </c>
      <c r="E359" s="2" t="str">
        <f>IFERROR(__xludf.DUMMYFUNCTION("""COMPUTED_VALUE"""),"Pedagogy")</f>
        <v>Pedagogy</v>
      </c>
      <c r="F359" s="2" t="str">
        <f>IFERROR(__xludf.DUMMYFUNCTION("""COMPUTED_VALUE"""),"recommendation")</f>
        <v>recommendation</v>
      </c>
      <c r="G359" s="3" t="str">
        <f>IFERROR(__xludf.DUMMYFUNCTION("""COMPUTED_VALUE"""),"I would have some more, uh, time for, uh, for basics of, uh, basics of DevOps and the old technologies, and not only focus on the things that are, uh, that are very novel and very being developed right now. So, uh, because that would give students a bette"&amp;"r opportunity to, uh, understand the, uh, the other things as well.
")</f>
        <v>I would have some more, uh, time for, uh, for basics of, uh, basics of DevOps and the old technologies, and not only focus on the things that are, uh, that are very novel and very being developed right now. So, uh, because that would give students a better opportunity to, uh, understand the, uh, the other things as well.
</v>
      </c>
      <c r="H359" s="3" t="str">
        <f>IFERROR(__xludf.DUMMYFUNCTION("""COMPUTED_VALUE"""),"Not just focus on the current, but teach the basics of DevOps and older technologies to a better understanding")</f>
        <v>Not just focus on the current, but teach the basics of DevOps and older technologies to a better understanding</v>
      </c>
      <c r="I359" s="2" t="s">
        <v>1227</v>
      </c>
    </row>
    <row r="360">
      <c r="A360" s="50" t="s">
        <v>3791</v>
      </c>
      <c r="B360" s="2">
        <f>IFERROR(__xludf.DUMMYFUNCTION("""COMPUTED_VALUE"""),13.0)</f>
        <v>13</v>
      </c>
      <c r="C360" s="2">
        <f>IFERROR(__xludf.DUMMYFUNCTION("""COMPUTED_VALUE"""),17.0)</f>
        <v>17</v>
      </c>
      <c r="D360" s="2" t="str">
        <f>IFERROR(__xludf.DUMMYFUNCTION("""COMPUTED_VALUE"""),"R2 / R3")</f>
        <v>R2 / R3</v>
      </c>
      <c r="E360" s="2" t="str">
        <f>IFERROR(__xludf.DUMMYFUNCTION("""COMPUTED_VALUE"""),"Pedagogy")</f>
        <v>Pedagogy</v>
      </c>
      <c r="F360" s="2" t="str">
        <f>IFERROR(__xludf.DUMMYFUNCTION("""COMPUTED_VALUE"""),"recommendation")</f>
        <v>recommendation</v>
      </c>
      <c r="G360" s="3" t="str">
        <f>IFERROR(__xludf.DUMMYFUNCTION("""COMPUTED_VALUE""")," if it was up to me, I would put some time to laying the background. And I'm talking about basics of DevOps and basics of some tools that are mainly used by everyone.")</f>
        <v> if it was up to me, I would put some time to laying the background. And I'm talking about basics of DevOps and basics of some tools that are mainly used by everyone.</v>
      </c>
      <c r="H360" s="3" t="str">
        <f>IFERROR(__xludf.DUMMYFUNCTION("""COMPUTED_VALUE"""),"Teacher assistants help students with basics of DevOps concepts and tools.")</f>
        <v>Teacher assistants help students with basics of DevOps concepts and tools.</v>
      </c>
      <c r="I360" s="2" t="s">
        <v>3792</v>
      </c>
    </row>
    <row r="361">
      <c r="A361" s="50" t="s">
        <v>3793</v>
      </c>
      <c r="B361" s="2">
        <f>IFERROR(__xludf.DUMMYFUNCTION("""COMPUTED_VALUE"""),13.0)</f>
        <v>13</v>
      </c>
      <c r="C361" s="2">
        <f>IFERROR(__xludf.DUMMYFUNCTION("""COMPUTED_VALUE"""),19.0)</f>
        <v>19</v>
      </c>
      <c r="D361" s="2" t="str">
        <f>IFERROR(__xludf.DUMMYFUNCTION("""COMPUTED_VALUE"""),"R1 / R3")</f>
        <v>R1 / R3</v>
      </c>
      <c r="E361" s="2" t="str">
        <f>IFERROR(__xludf.DUMMYFUNCTION("""COMPUTED_VALUE"""),"Assessment")</f>
        <v>Assessment</v>
      </c>
      <c r="F361" s="2" t="str">
        <f>IFERROR(__xludf.DUMMYFUNCTION("""COMPUTED_VALUE"""),"recommendation")</f>
        <v>recommendation</v>
      </c>
      <c r="G361" s="3" t="str">
        <f>IFERROR(__xludf.DUMMYFUNCTION("""COMPUTED_VALUE""")," I think if we lay the rooms, uh, maybe it's more clearly and more specifically, I think students, we know better what they will get from what they do. [...]
I think we will have, uh, we will, um, uh, rewrite some of the rules to make sure that, uh, stude"&amp;"nts know how many points they get for what they do, uh, beforehand we should do it because, uh, it will not be perfect because students can choose many different things. ")</f>
        <v> I think if we lay the rooms, uh, maybe it's more clearly and more specifically, I think students, we know better what they will get from what they do. [...]
I think we will have, uh, we will, um, uh, rewrite some of the rules to make sure that, uh, students know how many points they get for what they do, uh, beforehand we should do it because, uh, it will not be perfect because students can choose many different things. </v>
      </c>
      <c r="H361" s="3" t="str">
        <f>IFERROR(__xludf.DUMMYFUNCTION("""COMPUTED_VALUE"""),"Make sure the students know the rules of the course. For example how many points they get for what they do.")</f>
        <v>Make sure the students know the rules of the course. For example how many points they get for what they do.</v>
      </c>
      <c r="I361" s="2" t="s">
        <v>2730</v>
      </c>
    </row>
    <row r="362">
      <c r="A362" s="50" t="s">
        <v>3794</v>
      </c>
      <c r="B362" s="2">
        <f>IFERROR(__xludf.DUMMYFUNCTION("""COMPUTED_VALUE"""),13.0)</f>
        <v>13</v>
      </c>
      <c r="C362" s="2">
        <f>IFERROR(__xludf.DUMMYFUNCTION("""COMPUTED_VALUE"""),20.0)</f>
        <v>20</v>
      </c>
      <c r="D362" s="2" t="str">
        <f>IFERROR(__xludf.DUMMYFUNCTION("""COMPUTED_VALUE"""),"R1 / R3")</f>
        <v>R1 / R3</v>
      </c>
      <c r="E362" s="2" t="str">
        <f>IFERROR(__xludf.DUMMYFUNCTION("""COMPUTED_VALUE"""),"Curriculum")</f>
        <v>Curriculum</v>
      </c>
      <c r="F362" s="2" t="str">
        <f>IFERROR(__xludf.DUMMYFUNCTION("""COMPUTED_VALUE"""),"recommendation")</f>
        <v>recommendation</v>
      </c>
      <c r="G362" s="3" t="str">
        <f>IFERROR(__xludf.DUMMYFUNCTION("""COMPUTED_VALUE"""),"I think the time that we had was actually enough, it was, I think about two months ... Students had, uh, four hours in each week and they had to work on the projects, um, as well.  ...  they had some information, some background about software engineering"&amp;".")</f>
        <v>I think the time that we had was actually enough, it was, I think about two months ... Students had, uh, four hours in each week and they had to work on the projects, um, as well.  ...  they had some information, some background about software engineering.</v>
      </c>
      <c r="H362" s="3" t="str">
        <f>IFERROR(__xludf.DUMMYFUNCTION("""COMPUTED_VALUE"""),"Two months with four hours in each week is enough to students with some background about software engineering.")</f>
        <v>Two months with four hours in each week is enough to students with some background about software engineering.</v>
      </c>
      <c r="I362" s="2" t="s">
        <v>1878</v>
      </c>
    </row>
    <row r="363">
      <c r="A363" s="50" t="s">
        <v>3795</v>
      </c>
      <c r="B363" s="2">
        <f>IFERROR(__xludf.DUMMYFUNCTION("""COMPUTED_VALUE"""),13.0)</f>
        <v>13</v>
      </c>
      <c r="C363" s="2">
        <f>IFERROR(__xludf.DUMMYFUNCTION("""COMPUTED_VALUE"""),21.0)</f>
        <v>21</v>
      </c>
      <c r="D363" s="2" t="str">
        <f>IFERROR(__xludf.DUMMYFUNCTION("""COMPUTED_VALUE"""),"R1 / R2")</f>
        <v>R1 / R2</v>
      </c>
      <c r="E363" s="2" t="str">
        <f>IFERROR(__xludf.DUMMYFUNCTION("""COMPUTED_VALUE"""),"Other Challenge and Recommendation")</f>
        <v>Other Challenge and Recommendation</v>
      </c>
      <c r="F363" s="2" t="str">
        <f>IFERROR(__xludf.DUMMYFUNCTION("""COMPUTED_VALUE"""),"recommendation")</f>
        <v>recommendation</v>
      </c>
      <c r="G363" s="3" t="str">
        <f>IFERROR(__xludf.DUMMYFUNCTION("""COMPUTED_VALUE"""),"each week we had, uh, four hours of, uh, lectures and answering questions from students and, and, uh, making, making some points about the course more clear.")</f>
        <v>each week we had, uh, four hours of, uh, lectures and answering questions from students and, and, uh, making, making some points about the course more clear.</v>
      </c>
      <c r="H363" s="3" t="str">
        <f>IFERROR(__xludf.DUMMYFUNCTION("""COMPUTED_VALUE"""),"Separate time to answer students questions, each week, four hours, lectures and answering questions, making some points about the course more clear.")</f>
        <v>Separate time to answer students questions, each week, four hours, lectures and answering questions, making some points about the course more clear.</v>
      </c>
      <c r="I363" s="2" t="s">
        <v>3796</v>
      </c>
    </row>
    <row r="364">
      <c r="A364" s="50" t="s">
        <v>3797</v>
      </c>
      <c r="B364" s="2">
        <f>IFERROR(__xludf.DUMMYFUNCTION("""COMPUTED_VALUE"""),13.0)</f>
        <v>13</v>
      </c>
      <c r="C364" s="2">
        <f>IFERROR(__xludf.DUMMYFUNCTION("""COMPUTED_VALUE"""),21.0)</f>
        <v>21</v>
      </c>
      <c r="D364" s="2" t="str">
        <f>IFERROR(__xludf.DUMMYFUNCTION("""COMPUTED_VALUE"""),"R1 / R2")</f>
        <v>R1 / R2</v>
      </c>
      <c r="E364" s="2" t="str">
        <f>IFERROR(__xludf.DUMMYFUNCTION("""COMPUTED_VALUE"""),"Other Challenge and Recommendation")</f>
        <v>Other Challenge and Recommendation</v>
      </c>
      <c r="F364" s="2" t="str">
        <f>IFERROR(__xludf.DUMMYFUNCTION("""COMPUTED_VALUE"""),"recommendation")</f>
        <v>recommendation</v>
      </c>
      <c r="G364" s="3" t="str">
        <f>IFERROR(__xludf.DUMMYFUNCTION("""COMPUTED_VALUE""")," if we can have a students together working together and, um, working on the projects and developing projects together at the same time while the teachers are there and they, uh, we can, uh, see what they are doing, that would be better. And I think we wi"&amp;"ll, uh, hopefully do this, uh, next year when grown-up situation gets better.
")</f>
        <v> if we can have a students together working together and, um, working on the projects and developing projects together at the same time while the teachers are there and they, uh, we can, uh, see what they are doing, that would be better. And I think we will, uh, hopefully do this, uh, next year when grown-up situation gets better.
</v>
      </c>
      <c r="H364" s="3" t="str">
        <f>IFERROR(__xludf.DUMMYFUNCTION("""COMPUTED_VALUE"""),"Promote a moment to students practice while teachers are around to help them")</f>
        <v>Promote a moment to students practice while teachers are around to help them</v>
      </c>
      <c r="I364" s="2" t="s">
        <v>3798</v>
      </c>
    </row>
    <row r="365">
      <c r="A365" s="50" t="s">
        <v>3799</v>
      </c>
      <c r="B365" s="2">
        <f>IFERROR(__xludf.DUMMYFUNCTION("""COMPUTED_VALUE"""),13.0)</f>
        <v>13</v>
      </c>
      <c r="C365" s="2">
        <f>IFERROR(__xludf.DUMMYFUNCTION("""COMPUTED_VALUE"""),22.0)</f>
        <v>22</v>
      </c>
      <c r="D365" s="2" t="str">
        <f>IFERROR(__xludf.DUMMYFUNCTION("""COMPUTED_VALUE"""),"R2 / R3")</f>
        <v>R2 / R3</v>
      </c>
      <c r="E365" s="2" t="str">
        <f>IFERROR(__xludf.DUMMYFUNCTION("""COMPUTED_VALUE"""),"Other Challenge and Recommendation")</f>
        <v>Other Challenge and Recommendation</v>
      </c>
      <c r="F365" s="2" t="str">
        <f>IFERROR(__xludf.DUMMYFUNCTION("""COMPUTED_VALUE"""),"recommendation")</f>
        <v>recommendation</v>
      </c>
      <c r="G365" s="3" t="str">
        <f>IFERROR(__xludf.DUMMYFUNCTION("""COMPUTED_VALUE""")," everything in this course was, uh, was, uh, done through the GitHub repository, there are many issues, there are many pull requests and the discussions between TAs and the students and grading everything is there.")</f>
        <v> everything in this course was, uh, was, uh, done through the GitHub repository, there are many issues, there are many pull requests and the discussions between TAs and the students and grading everything is there.</v>
      </c>
      <c r="H365" s="3" t="str">
        <f>IFERROR(__xludf.DUMMYFUNCTION("""COMPUTED_VALUE"""),"Use Github to record grading, pull requests and discussions between teacher assistants and the students.")</f>
        <v>Use Github to record grading, pull requests and discussions between teacher assistants and the students.</v>
      </c>
      <c r="I365" s="2" t="s">
        <v>3800</v>
      </c>
    </row>
    <row r="366">
      <c r="A366" s="50" t="s">
        <v>3801</v>
      </c>
      <c r="B366" s="2">
        <f>IFERROR(__xludf.DUMMYFUNCTION("""COMPUTED_VALUE"""),13.0)</f>
        <v>13</v>
      </c>
      <c r="C366" s="2">
        <f>IFERROR(__xludf.DUMMYFUNCTION("""COMPUTED_VALUE"""),23.0)</f>
        <v>23</v>
      </c>
      <c r="D366" s="2" t="str">
        <f>IFERROR(__xludf.DUMMYFUNCTION("""COMPUTED_VALUE"""),"R1 / R3")</f>
        <v>R1 / R3</v>
      </c>
      <c r="E366" s="2" t="str">
        <f>IFERROR(__xludf.DUMMYFUNCTION("""COMPUTED_VALUE"""),"Other Challenge and Recommendation")</f>
        <v>Other Challenge and Recommendation</v>
      </c>
      <c r="F366" s="2" t="str">
        <f>IFERROR(__xludf.DUMMYFUNCTION("""COMPUTED_VALUE"""),"recommendation")</f>
        <v>recommendation</v>
      </c>
      <c r="G366" s="3" t="str">
        <f>IFERROR(__xludf.DUMMYFUNCTION("""COMPUTED_VALUE"""),"they could contribute to some open source projects that are large projects and they are being used. So it's something that I'm looking for. Something we had some stats, uh, on github.")</f>
        <v>they could contribute to some open source projects that are large projects and they are being used. So it's something that I'm looking for. Something we had some stats, uh, on github.</v>
      </c>
      <c r="H366" s="3" t="str">
        <f>IFERROR(__xludf.DUMMYFUNCTION("""COMPUTED_VALUE"""),"Students could contribute to some open source projects that are large and being used and had more than one hundred stars.")</f>
        <v>Students could contribute to some open source projects that are large and being used and had more than one hundred stars.</v>
      </c>
      <c r="I366" s="2" t="s">
        <v>3802</v>
      </c>
    </row>
    <row r="367">
      <c r="A367" s="50" t="s">
        <v>3803</v>
      </c>
      <c r="B367" s="2">
        <f>IFERROR(__xludf.DUMMYFUNCTION("""COMPUTED_VALUE"""),13.0)</f>
        <v>13</v>
      </c>
      <c r="C367" s="2">
        <f>IFERROR(__xludf.DUMMYFUNCTION("""COMPUTED_VALUE"""),24.0)</f>
        <v>24</v>
      </c>
      <c r="D367" s="2" t="str">
        <f>IFERROR(__xludf.DUMMYFUNCTION("""COMPUTED_VALUE"""),"R1 / R3")</f>
        <v>R1 / R3</v>
      </c>
      <c r="E367" s="2" t="str">
        <f>IFERROR(__xludf.DUMMYFUNCTION("""COMPUTED_VALUE"""),"Other Challenge and Recommendation")</f>
        <v>Other Challenge and Recommendation</v>
      </c>
      <c r="F367" s="2" t="str">
        <f>IFERROR(__xludf.DUMMYFUNCTION("""COMPUTED_VALUE"""),"recommendation")</f>
        <v>recommendation</v>
      </c>
      <c r="G367" s="3" t="str">
        <f>IFERROR(__xludf.DUMMYFUNCTION("""COMPUTED_VALUE"""),"there are many checks in this course, we had to make sure that the students had done this and that, and that these, uh, checks could be, uh, automatized by your students. And they had, they added some GitHub actions and to the repository.")</f>
        <v>there are many checks in this course, we had to make sure that the students had done this and that, and that these, uh, checks could be, uh, automatized by your students. And they had, they added some GitHub actions and to the repository.</v>
      </c>
      <c r="H367" s="3" t="str">
        <f>IFERROR(__xludf.DUMMYFUNCTION("""COMPUTED_VALUE"""),"Do automation with Github actions.")</f>
        <v>Do automation with Github actions.</v>
      </c>
      <c r="I367" s="2" t="s">
        <v>3804</v>
      </c>
    </row>
    <row r="368">
      <c r="A368" s="50" t="s">
        <v>3805</v>
      </c>
      <c r="B368" s="2">
        <f>IFERROR(__xludf.DUMMYFUNCTION("""COMPUTED_VALUE"""),13.0)</f>
        <v>13</v>
      </c>
      <c r="C368" s="2">
        <f>IFERROR(__xludf.DUMMYFUNCTION("""COMPUTED_VALUE"""),24.0)</f>
        <v>24</v>
      </c>
      <c r="D368" s="2" t="str">
        <f>IFERROR(__xludf.DUMMYFUNCTION("""COMPUTED_VALUE"""),"R1 / R3")</f>
        <v>R1 / R3</v>
      </c>
      <c r="E368" s="2" t="str">
        <f>IFERROR(__xludf.DUMMYFUNCTION("""COMPUTED_VALUE"""),"Other Challenge and Recommendation")</f>
        <v>Other Challenge and Recommendation</v>
      </c>
      <c r="F368" s="2" t="str">
        <f>IFERROR(__xludf.DUMMYFUNCTION("""COMPUTED_VALUE"""),"recommendation")</f>
        <v>recommendation</v>
      </c>
      <c r="G368" s="3" t="str">
        <f>IFERROR(__xludf.DUMMYFUNCTION("""COMPUTED_VALUE"""),"So that's the course automation and executable tutorial was, uh, chatter, katacoda, um, website. They use the katacoda that website to, uh, to write a tutorial on a tool for them DevOps.")</f>
        <v>So that's the course automation and executable tutorial was, uh, chatter, katacoda, um, website. They use the katacoda that website to, uh, to write a tutorial on a tool for them DevOps.</v>
      </c>
      <c r="H368" s="3" t="str">
        <f>IFERROR(__xludf.DUMMYFUNCTION("""COMPUTED_VALUE"""),"The students write a tutorial about a DevOps tool on katacoda to describe the course automation.")</f>
        <v>The students write a tutorial about a DevOps tool on katacoda to describe the course automation.</v>
      </c>
      <c r="I368" s="2" t="s">
        <v>2738</v>
      </c>
    </row>
    <row r="369">
      <c r="A369" s="50" t="s">
        <v>3806</v>
      </c>
      <c r="B369" s="2">
        <f>IFERROR(__xludf.DUMMYFUNCTION("""COMPUTED_VALUE"""),14.0)</f>
        <v>14</v>
      </c>
      <c r="C369" s="2">
        <f>IFERROR(__xludf.DUMMYFUNCTION("""COMPUTED_VALUE"""),2.0)</f>
        <v>2</v>
      </c>
      <c r="D369" s="2" t="str">
        <f>IFERROR(__xludf.DUMMYFUNCTION("""COMPUTED_VALUE"""),"R2 / R3")</f>
        <v>R2 / R3</v>
      </c>
      <c r="E369" s="2" t="str">
        <f>IFERROR(__xludf.DUMMYFUNCTION("""COMPUTED_VALUE"""),"General Challenges and Recommendations")</f>
        <v>General Challenges and Recommendations</v>
      </c>
      <c r="F369" s="2" t="str">
        <f>IFERROR(__xludf.DUMMYFUNCTION("""COMPUTED_VALUE"""),"recommendation")</f>
        <v>recommendation</v>
      </c>
      <c r="G369" s="3" t="str">
        <f>IFERROR(__xludf.DUMMYFUNCTION("""COMPUTED_VALUE""")," So I had to find one that was dying and, uh, hopefully the colleague who was handling his dying course forgot to answer to an email.")</f>
        <v> So I had to find one that was dying and, uh, hopefully the colleague who was handling his dying course forgot to answer to an email.</v>
      </c>
      <c r="H369" s="3" t="str">
        <f>IFERROR(__xludf.DUMMYFUNCTION("""COMPUTED_VALUE"""),"Look for a dying course to include a DevOps one in the curriculum.")</f>
        <v>Look for a dying course to include a DevOps one in the curriculum.</v>
      </c>
      <c r="I369" s="2" t="s">
        <v>1888</v>
      </c>
    </row>
    <row r="370">
      <c r="A370" s="50" t="s">
        <v>3807</v>
      </c>
      <c r="B370" s="2">
        <f>IFERROR(__xludf.DUMMYFUNCTION("""COMPUTED_VALUE"""),14.0)</f>
        <v>14</v>
      </c>
      <c r="C370" s="2">
        <f>IFERROR(__xludf.DUMMYFUNCTION("""COMPUTED_VALUE"""),3.0)</f>
        <v>3</v>
      </c>
      <c r="D370" s="2" t="str">
        <f>IFERROR(__xludf.DUMMYFUNCTION("""COMPUTED_VALUE"""),"R1 / R3")</f>
        <v>R1 / R3</v>
      </c>
      <c r="E370" s="2" t="str">
        <f>IFERROR(__xludf.DUMMYFUNCTION("""COMPUTED_VALUE"""),"General Challenges and Recommendations")</f>
        <v>General Challenges and Recommendations</v>
      </c>
      <c r="F370" s="2" t="str">
        <f>IFERROR(__xludf.DUMMYFUNCTION("""COMPUTED_VALUE"""),"recommendation")</f>
        <v>recommendation</v>
      </c>
      <c r="G370" s="3" t="str">
        <f>IFERROR(__xludf.DUMMYFUNCTION("""COMPUTED_VALUE"""),"I think the course we've built in France was successful because we've done it with a software architect from IBM or the guy who was building, um, like as part of his industrial practice, he was building huge, uh, systems. ")</f>
        <v>I think the course we've built in France was successful because we've done it with a software architect from IBM or the guy who was building, um, like as part of his industrial practice, he was building huge, uh, systems. </v>
      </c>
      <c r="H370" s="3" t="str">
        <f>IFERROR(__xludf.DUMMYFUNCTION("""COMPUTED_VALUE"""),"It is important to have industrial partnership to share skills to contribute to the course.")</f>
        <v>It is important to have industrial partnership to share skills to contribute to the course.</v>
      </c>
      <c r="I370" s="2" t="s">
        <v>3808</v>
      </c>
    </row>
    <row r="371">
      <c r="A371" s="50" t="s">
        <v>3809</v>
      </c>
      <c r="B371" s="2">
        <f>IFERROR(__xludf.DUMMYFUNCTION("""COMPUTED_VALUE"""),14.0)</f>
        <v>14</v>
      </c>
      <c r="C371" s="2">
        <f>IFERROR(__xludf.DUMMYFUNCTION("""COMPUTED_VALUE"""),4.0)</f>
        <v>4</v>
      </c>
      <c r="D371" s="2" t="str">
        <f>IFERROR(__xludf.DUMMYFUNCTION("""COMPUTED_VALUE"""),"R1 / R3")</f>
        <v>R1 / R3</v>
      </c>
      <c r="E371" s="2" t="str">
        <f>IFERROR(__xludf.DUMMYFUNCTION("""COMPUTED_VALUE"""),"General Challenges and Recommendations")</f>
        <v>General Challenges and Recommendations</v>
      </c>
      <c r="F371" s="2" t="str">
        <f>IFERROR(__xludf.DUMMYFUNCTION("""COMPUTED_VALUE"""),"recommendation")</f>
        <v>recommendation</v>
      </c>
      <c r="G371" s="3" t="str">
        <f>IFERROR(__xludf.DUMMYFUNCTION("""COMPUTED_VALUE"""),"you need to have people interacting with the students that are practitioners and that really, uh, well know their in a way.")</f>
        <v>you need to have people interacting with the students that are practitioners and that really, uh, well know their in a way.</v>
      </c>
      <c r="H371" s="3" t="str">
        <f>IFERROR(__xludf.DUMMYFUNCTION("""COMPUTED_VALUE"""),"You need to have DevOps practitioners interacting with the students.")</f>
        <v>You need to have DevOps practitioners interacting with the students.</v>
      </c>
      <c r="I371" s="2" t="s">
        <v>3810</v>
      </c>
    </row>
    <row r="372">
      <c r="A372" s="50" t="s">
        <v>3811</v>
      </c>
      <c r="B372" s="2">
        <f>IFERROR(__xludf.DUMMYFUNCTION("""COMPUTED_VALUE"""),14.0)</f>
        <v>14</v>
      </c>
      <c r="C372" s="2">
        <f>IFERROR(__xludf.DUMMYFUNCTION("""COMPUTED_VALUE"""),7.0)</f>
        <v>7</v>
      </c>
      <c r="D372" s="2" t="str">
        <f>IFERROR(__xludf.DUMMYFUNCTION("""COMPUTED_VALUE"""),"R2 / R3")</f>
        <v>R2 / R3</v>
      </c>
      <c r="E372" s="2" t="str">
        <f>IFERROR(__xludf.DUMMYFUNCTION("""COMPUTED_VALUE"""),"General Challenges and Recommendations")</f>
        <v>General Challenges and Recommendations</v>
      </c>
      <c r="F372" s="2" t="str">
        <f>IFERROR(__xludf.DUMMYFUNCTION("""COMPUTED_VALUE"""),"recommendation")</f>
        <v>recommendation</v>
      </c>
      <c r="G372" s="3" t="str">
        <f>IFERROR(__xludf.DUMMYFUNCTION("""COMPUTED_VALUE"""),"So we thought we were doing right, but after having discussed with industrial partners and practitioners, like not just discussed, you know, conference or attending a meetup, like really discussing for hours. ")</f>
        <v>So we thought we were doing right, but after having discussed with industrial partners and practitioners, like not just discussed, you know, conference or attending a meetup, like really discussing for hours. </v>
      </c>
      <c r="H372" s="3" t="str">
        <f>IFERROR(__xludf.DUMMYFUNCTION("""COMPUTED_VALUE"""),"Discuss the course with industrial partners and practitioners.")</f>
        <v>Discuss the course with industrial partners and practitioners.</v>
      </c>
      <c r="I372" s="2" t="s">
        <v>1903</v>
      </c>
    </row>
    <row r="373">
      <c r="A373" s="50" t="s">
        <v>3812</v>
      </c>
      <c r="B373" s="2">
        <f>IFERROR(__xludf.DUMMYFUNCTION("""COMPUTED_VALUE"""),14.0)</f>
        <v>14</v>
      </c>
      <c r="C373" s="2">
        <f>IFERROR(__xludf.DUMMYFUNCTION("""COMPUTED_VALUE"""),8.0)</f>
        <v>8</v>
      </c>
      <c r="D373" s="2" t="str">
        <f>IFERROR(__xludf.DUMMYFUNCTION("""COMPUTED_VALUE"""),"R1 / R3")</f>
        <v>R1 / R3</v>
      </c>
      <c r="E373" s="2" t="str">
        <f>IFERROR(__xludf.DUMMYFUNCTION("""COMPUTED_VALUE"""),"General Challenges and Recommendations")</f>
        <v>General Challenges and Recommendations</v>
      </c>
      <c r="F373" s="2" t="str">
        <f>IFERROR(__xludf.DUMMYFUNCTION("""COMPUTED_VALUE"""),"recommendation")</f>
        <v>recommendation</v>
      </c>
      <c r="G373" s="3" t="str">
        <f>IFERROR(__xludf.DUMMYFUNCTION("""COMPUTED_VALUE"""),"So it's constantly discussing and constantly sharing in an open way, uh, what's happening, how it's teach, uh, how it's story telling and how, how things are going. ")</f>
        <v>So it's constantly discussing and constantly sharing in an open way, uh, what's happening, how it's teach, uh, how it's story telling and how, how things are going. </v>
      </c>
      <c r="H373" s="3" t="str">
        <f>IFERROR(__xludf.DUMMYFUNCTION("""COMPUTED_VALUE"""),"Constantly discuss and share the DevOps teaching in an open way.")</f>
        <v>Constantly discuss and share the DevOps teaching in an open way.</v>
      </c>
      <c r="I373" s="2" t="s">
        <v>3813</v>
      </c>
    </row>
    <row r="374">
      <c r="A374" s="50" t="s">
        <v>3814</v>
      </c>
      <c r="B374" s="2">
        <f>IFERROR(__xludf.DUMMYFUNCTION("""COMPUTED_VALUE"""),14.0)</f>
        <v>14</v>
      </c>
      <c r="C374" s="2">
        <f>IFERROR(__xludf.DUMMYFUNCTION("""COMPUTED_VALUE"""),8.0)</f>
        <v>8</v>
      </c>
      <c r="D374" s="2" t="str">
        <f>IFERROR(__xludf.DUMMYFUNCTION("""COMPUTED_VALUE"""),"R1 / R3")</f>
        <v>R1 / R3</v>
      </c>
      <c r="E374" s="2" t="str">
        <f>IFERROR(__xludf.DUMMYFUNCTION("""COMPUTED_VALUE"""),"General Challenges and Recommendations")</f>
        <v>General Challenges and Recommendations</v>
      </c>
      <c r="F374" s="2" t="str">
        <f>IFERROR(__xludf.DUMMYFUNCTION("""COMPUTED_VALUE"""),"recommendation")</f>
        <v>recommendation</v>
      </c>
      <c r="G374" s="3" t="str">
        <f>IFERROR(__xludf.DUMMYFUNCTION("""COMPUTED_VALUE"""),"So this guy was really half time IBM and half time in the faculty of engineering. ")</f>
        <v>So this guy was really half time IBM and half time in the faculty of engineering. </v>
      </c>
      <c r="H374" s="3" t="str">
        <f>IFERROR(__xludf.DUMMYFUNCTION("""COMPUTED_VALUE"""),"Teachers could be half time industrial and half time faculty.")</f>
        <v>Teachers could be half time industrial and half time faculty.</v>
      </c>
      <c r="I374" s="2" t="s">
        <v>1905</v>
      </c>
    </row>
    <row r="375">
      <c r="A375" s="50" t="s">
        <v>3815</v>
      </c>
      <c r="B375" s="2">
        <f>IFERROR(__xludf.DUMMYFUNCTION("""COMPUTED_VALUE"""),14.0)</f>
        <v>14</v>
      </c>
      <c r="C375" s="2">
        <f>IFERROR(__xludf.DUMMYFUNCTION("""COMPUTED_VALUE"""),11.0)</f>
        <v>11</v>
      </c>
      <c r="D375" s="2" t="str">
        <f>IFERROR(__xludf.DUMMYFUNCTION("""COMPUTED_VALUE"""),"R1 / R2")</f>
        <v>R1 / R2</v>
      </c>
      <c r="E375" s="2" t="str">
        <f>IFERROR(__xludf.DUMMYFUNCTION("""COMPUTED_VALUE"""),"Environment Setup")</f>
        <v>Environment Setup</v>
      </c>
      <c r="F375" s="2" t="str">
        <f>IFERROR(__xludf.DUMMYFUNCTION("""COMPUTED_VALUE"""),"recommendation")</f>
        <v>recommendation</v>
      </c>
      <c r="G375" s="3" t="str">
        <f>IFERROR(__xludf.DUMMYFUNCTION("""COMPUTED_VALUE""")," we decided to let the student choose and said, okay, you have your option and do what you want, but you're responsible of doing it.")</f>
        <v> we decided to let the student choose and said, okay, you have your option and do what you want, but you're responsible of doing it.</v>
      </c>
      <c r="H375" s="3" t="str">
        <f>IFERROR(__xludf.DUMMYFUNCTION("""COMPUTED_VALUE"""),"Give the responsibility to the student to chose the system and also the responsibility of what they are doing")</f>
        <v>Give the responsibility to the student to chose the system and also the responsibility of what they are doing</v>
      </c>
      <c r="I375" s="2" t="s">
        <v>3816</v>
      </c>
    </row>
    <row r="376">
      <c r="A376" s="50" t="s">
        <v>3817</v>
      </c>
      <c r="B376" s="2">
        <f>IFERROR(__xludf.DUMMYFUNCTION("""COMPUTED_VALUE"""),14.0)</f>
        <v>14</v>
      </c>
      <c r="C376" s="2">
        <f>IFERROR(__xludf.DUMMYFUNCTION("""COMPUTED_VALUE"""),11.0)</f>
        <v>11</v>
      </c>
      <c r="D376" s="2" t="str">
        <f>IFERROR(__xludf.DUMMYFUNCTION("""COMPUTED_VALUE"""),"R1 / R2")</f>
        <v>R1 / R2</v>
      </c>
      <c r="E376" s="2" t="str">
        <f>IFERROR(__xludf.DUMMYFUNCTION("""COMPUTED_VALUE"""),"Environment Setup")</f>
        <v>Environment Setup</v>
      </c>
      <c r="F376" s="2" t="str">
        <f>IFERROR(__xludf.DUMMYFUNCTION("""COMPUTED_VALUE"""),"recommendation")</f>
        <v>recommendation</v>
      </c>
      <c r="G376" s="3" t="str">
        <f>IFERROR(__xludf.DUMMYFUNCTION("""COMPUTED_VALUE"""),"I think maybe the, um, the using external cloud services would give you the better in terms of DevOps philosophy, let's say, because then you're really pushing and you bring stuff outside of the academy ecosystem")</f>
        <v>I think maybe the, um, the using external cloud services would give you the better in terms of DevOps philosophy, let's say, because then you're really pushing and you bring stuff outside of the academy ecosystem</v>
      </c>
      <c r="H376" s="3" t="str">
        <f>IFERROR(__xludf.DUMMYFUNCTION("""COMPUTED_VALUE"""),"Using external cloud services would give you the better in terms of DevOps philosophy, because then you're really pushing and you bring stuff outside of the academy ecosystem.")</f>
        <v>Using external cloud services would give you the better in terms of DevOps philosophy, because then you're really pushing and you bring stuff outside of the academy ecosystem.</v>
      </c>
      <c r="I376" s="2" t="s">
        <v>3818</v>
      </c>
    </row>
    <row r="377">
      <c r="A377" s="50" t="s">
        <v>3819</v>
      </c>
      <c r="B377" s="2">
        <f>IFERROR(__xludf.DUMMYFUNCTION("""COMPUTED_VALUE"""),14.0)</f>
        <v>14</v>
      </c>
      <c r="C377" s="2">
        <f>IFERROR(__xludf.DUMMYFUNCTION("""COMPUTED_VALUE"""),12.0)</f>
        <v>12</v>
      </c>
      <c r="D377" s="2" t="str">
        <f>IFERROR(__xludf.DUMMYFUNCTION("""COMPUTED_VALUE"""),"R2 / R3")</f>
        <v>R2 / R3</v>
      </c>
      <c r="E377" s="2" t="str">
        <f>IFERROR(__xludf.DUMMYFUNCTION("""COMPUTED_VALUE"""),"Tool / Technology")</f>
        <v>Tool / Technology</v>
      </c>
      <c r="F377" s="2" t="str">
        <f>IFERROR(__xludf.DUMMYFUNCTION("""COMPUTED_VALUE"""),"recommendation")</f>
        <v>recommendation</v>
      </c>
      <c r="G377" s="3" t="str">
        <f>IFERROR(__xludf.DUMMYFUNCTION("""COMPUTED_VALUE"""),"we use the blueJ, uh, platform from, uh, IBM, that was really, everything was integrated and those kinds of things that was really good in a way,")</f>
        <v>we use the blueJ, uh, platform from, uh, IBM, that was really, everything was integrated and those kinds of things that was really good in a way,</v>
      </c>
      <c r="H377" s="3" t="str">
        <f>IFERROR(__xludf.DUMMYFUNCTION("""COMPUTED_VALUE"""),"DevOps tools are well integrated in BlueJ platform from IBM.")</f>
        <v>DevOps tools are well integrated in BlueJ platform from IBM.</v>
      </c>
      <c r="I377" s="2" t="s">
        <v>3820</v>
      </c>
    </row>
    <row r="378">
      <c r="A378" s="50" t="s">
        <v>3821</v>
      </c>
      <c r="B378" s="2">
        <f>IFERROR(__xludf.DUMMYFUNCTION("""COMPUTED_VALUE"""),14.0)</f>
        <v>14</v>
      </c>
      <c r="C378" s="2">
        <f>IFERROR(__xludf.DUMMYFUNCTION("""COMPUTED_VALUE"""),12.0)</f>
        <v>12</v>
      </c>
      <c r="D378" s="2" t="str">
        <f>IFERROR(__xludf.DUMMYFUNCTION("""COMPUTED_VALUE"""),"R2 / R3")</f>
        <v>R2 / R3</v>
      </c>
      <c r="E378" s="2" t="str">
        <f>IFERROR(__xludf.DUMMYFUNCTION("""COMPUTED_VALUE"""),"Tool / Technology")</f>
        <v>Tool / Technology</v>
      </c>
      <c r="F378" s="2" t="str">
        <f>IFERROR(__xludf.DUMMYFUNCTION("""COMPUTED_VALUE"""),"recommendation")</f>
        <v>recommendation</v>
      </c>
      <c r="G378" s="3" t="str">
        <f>IFERROR(__xludf.DUMMYFUNCTION("""COMPUTED_VALUE"""),"let's go for something that we have more control on, uh, using for tools like Jenkins and and a stuff like Docker or Kubernetes was kind of good in a way to, uh, support the deployment and the, uh, like the building plus deployment stuff.")</f>
        <v>let's go for something that we have more control on, uh, using for tools like Jenkins and and a stuff like Docker or Kubernetes was kind of good in a way to, uh, support the deployment and the, uh, like the building plus deployment stuff.</v>
      </c>
      <c r="H378" s="3" t="str">
        <f>IFERROR(__xludf.DUMMYFUNCTION("""COMPUTED_VALUE"""),"Use tools like Jenkins to have more control on support the deployment.")</f>
        <v>Use tools like Jenkins to have more control on support the deployment.</v>
      </c>
      <c r="I378" s="2" t="s">
        <v>3822</v>
      </c>
    </row>
    <row r="379">
      <c r="A379" s="50" t="s">
        <v>3823</v>
      </c>
      <c r="B379" s="2">
        <f>IFERROR(__xludf.DUMMYFUNCTION("""COMPUTED_VALUE"""),14.0)</f>
        <v>14</v>
      </c>
      <c r="C379" s="2">
        <f>IFERROR(__xludf.DUMMYFUNCTION("""COMPUTED_VALUE"""),12.0)</f>
        <v>12</v>
      </c>
      <c r="D379" s="2" t="str">
        <f>IFERROR(__xludf.DUMMYFUNCTION("""COMPUTED_VALUE"""),"R2 / R3")</f>
        <v>R2 / R3</v>
      </c>
      <c r="E379" s="2" t="str">
        <f>IFERROR(__xludf.DUMMYFUNCTION("""COMPUTED_VALUE"""),"Tool / Technology")</f>
        <v>Tool / Technology</v>
      </c>
      <c r="F379" s="2" t="str">
        <f>IFERROR(__xludf.DUMMYFUNCTION("""COMPUTED_VALUE"""),"recommendation")</f>
        <v>recommendation</v>
      </c>
      <c r="G379" s="3" t="str">
        <f>IFERROR(__xludf.DUMMYFUNCTION("""COMPUTED_VALUE"""),"let's go for something that we have more control on, uh, using for tools like Jenkins and and a stuff like Docker or Kubernetes was kind of good in a way to, uh, support the deployment and the, uh, like the building plus deployment stuff.")</f>
        <v>let's go for something that we have more control on, uh, using for tools like Jenkins and and a stuff like Docker or Kubernetes was kind of good in a way to, uh, support the deployment and the, uh, like the building plus deployment stuff.</v>
      </c>
      <c r="H379" s="3" t="str">
        <f>IFERROR(__xludf.DUMMYFUNCTION("""COMPUTED_VALUE"""),"Use tools like Docker to have more control on support the deployment.")</f>
        <v>Use tools like Docker to have more control on support the deployment.</v>
      </c>
      <c r="I379" s="2" t="s">
        <v>3822</v>
      </c>
    </row>
    <row r="380">
      <c r="A380" s="50" t="s">
        <v>3824</v>
      </c>
      <c r="B380" s="2">
        <f>IFERROR(__xludf.DUMMYFUNCTION("""COMPUTED_VALUE"""),14.0)</f>
        <v>14</v>
      </c>
      <c r="C380" s="2">
        <f>IFERROR(__xludf.DUMMYFUNCTION("""COMPUTED_VALUE"""),12.0)</f>
        <v>12</v>
      </c>
      <c r="D380" s="2" t="str">
        <f>IFERROR(__xludf.DUMMYFUNCTION("""COMPUTED_VALUE"""),"R2 / R3")</f>
        <v>R2 / R3</v>
      </c>
      <c r="E380" s="2" t="str">
        <f>IFERROR(__xludf.DUMMYFUNCTION("""COMPUTED_VALUE"""),"Tool / Technology")</f>
        <v>Tool / Technology</v>
      </c>
      <c r="F380" s="2" t="str">
        <f>IFERROR(__xludf.DUMMYFUNCTION("""COMPUTED_VALUE"""),"recommendation")</f>
        <v>recommendation</v>
      </c>
      <c r="G380" s="3" t="str">
        <f>IFERROR(__xludf.DUMMYFUNCTION("""COMPUTED_VALUE"""),"let's go for something that we have more control on, uh, using for tools like Jenkins and and a stuff like Docker or Kubernetes was kind of good in a way to, uh, support the deployment and the, uh, like the building plus deployment stuff.")</f>
        <v>let's go for something that we have more control on, uh, using for tools like Jenkins and and a stuff like Docker or Kubernetes was kind of good in a way to, uh, support the deployment and the, uh, like the building plus deployment stuff.</v>
      </c>
      <c r="H380" s="3" t="str">
        <f>IFERROR(__xludf.DUMMYFUNCTION("""COMPUTED_VALUE"""),"Use tools like Kubernetes to have more control on support the deployment.")</f>
        <v>Use tools like Kubernetes to have more control on support the deployment.</v>
      </c>
      <c r="I380" s="2" t="s">
        <v>3822</v>
      </c>
    </row>
    <row r="381">
      <c r="A381" s="50" t="s">
        <v>3825</v>
      </c>
      <c r="B381" s="2">
        <f>IFERROR(__xludf.DUMMYFUNCTION("""COMPUTED_VALUE"""),14.0)</f>
        <v>14</v>
      </c>
      <c r="C381" s="2">
        <f>IFERROR(__xludf.DUMMYFUNCTION("""COMPUTED_VALUE"""),13.0)</f>
        <v>13</v>
      </c>
      <c r="D381" s="2" t="str">
        <f>IFERROR(__xludf.DUMMYFUNCTION("""COMPUTED_VALUE"""),"R1 / R3")</f>
        <v>R1 / R3</v>
      </c>
      <c r="E381" s="2" t="str">
        <f>IFERROR(__xludf.DUMMYFUNCTION("""COMPUTED_VALUE"""),"Tool / Technology")</f>
        <v>Tool / Technology</v>
      </c>
      <c r="F381" s="2" t="str">
        <f>IFERROR(__xludf.DUMMYFUNCTION("""COMPUTED_VALUE"""),"recommendation")</f>
        <v>recommendation</v>
      </c>
      <c r="G381" s="3" t="str">
        <f>IFERROR(__xludf.DUMMYFUNCTION("""COMPUTED_VALUE"""),"The student had to have the code that goes so git as a version control system, uh, GitHub GitLab, the, we had a Bitbucket on-premise also, uh, deployed inside the school.")</f>
        <v>The student had to have the code that goes so git as a version control system, uh, GitHub GitLab, the, we had a Bitbucket on-premise also, uh, deployed inside the school.</v>
      </c>
      <c r="H381" s="3" t="str">
        <f>IFERROR(__xludf.DUMMYFUNCTION("""COMPUTED_VALUE"""),"Use github, gitlab or bitbucket as version control system tools adopted by the course.")</f>
        <v>Use github, gitlab or bitbucket as version control system tools adopted by the course.</v>
      </c>
      <c r="I381" s="2" t="s">
        <v>871</v>
      </c>
    </row>
    <row r="382">
      <c r="A382" s="50" t="s">
        <v>3826</v>
      </c>
      <c r="B382" s="2">
        <f>IFERROR(__xludf.DUMMYFUNCTION("""COMPUTED_VALUE"""),14.0)</f>
        <v>14</v>
      </c>
      <c r="C382" s="2">
        <f>IFERROR(__xludf.DUMMYFUNCTION("""COMPUTED_VALUE"""),13.0)</f>
        <v>13</v>
      </c>
      <c r="D382" s="2" t="str">
        <f>IFERROR(__xludf.DUMMYFUNCTION("""COMPUTED_VALUE"""),"R1 / R3")</f>
        <v>R1 / R3</v>
      </c>
      <c r="E382" s="2" t="str">
        <f>IFERROR(__xludf.DUMMYFUNCTION("""COMPUTED_VALUE"""),"Tool / Technology")</f>
        <v>Tool / Technology</v>
      </c>
      <c r="F382" s="2" t="str">
        <f>IFERROR(__xludf.DUMMYFUNCTION("""COMPUTED_VALUE"""),"recommendation")</f>
        <v>recommendation</v>
      </c>
      <c r="G382" s="3" t="str">
        <f>IFERROR(__xludf.DUMMYFUNCTION("""COMPUTED_VALUE"""),"I want the code to go through a pipeline. It could be Jenkins. It could be github actions. It could be gitlab workflow. It could be GitHub action")</f>
        <v>I want the code to go through a pipeline. It could be Jenkins. It could be github actions. It could be gitlab workflow. It could be GitHub action</v>
      </c>
      <c r="H382" s="3" t="str">
        <f>IFERROR(__xludf.DUMMYFUNCTION("""COMPUTED_VALUE"""),"Use Jenkins, GitLab, or Github Actions as pipeline orchestration tools adopted by the course.")</f>
        <v>Use Jenkins, GitLab, or Github Actions as pipeline orchestration tools adopted by the course.</v>
      </c>
      <c r="I382" s="2" t="s">
        <v>3827</v>
      </c>
    </row>
    <row r="383">
      <c r="A383" s="50" t="s">
        <v>3828</v>
      </c>
      <c r="B383" s="2">
        <f>IFERROR(__xludf.DUMMYFUNCTION("""COMPUTED_VALUE"""),14.0)</f>
        <v>14</v>
      </c>
      <c r="C383" s="2">
        <f>IFERROR(__xludf.DUMMYFUNCTION("""COMPUTED_VALUE"""),13.0)</f>
        <v>13</v>
      </c>
      <c r="D383" s="2" t="str">
        <f>IFERROR(__xludf.DUMMYFUNCTION("""COMPUTED_VALUE"""),"R1 / R3")</f>
        <v>R1 / R3</v>
      </c>
      <c r="E383" s="2" t="str">
        <f>IFERROR(__xludf.DUMMYFUNCTION("""COMPUTED_VALUE"""),"Tool / Technology")</f>
        <v>Tool / Technology</v>
      </c>
      <c r="F383" s="2" t="str">
        <f>IFERROR(__xludf.DUMMYFUNCTION("""COMPUTED_VALUE"""),"recommendation")</f>
        <v>recommendation</v>
      </c>
      <c r="G383" s="3" t="str">
        <f>IFERROR(__xludf.DUMMYFUNCTION("""COMPUTED_VALUE"""),"I want to be able to deploy it with containers. So it can be, um, through Kubernetes, it can be through Docker.")</f>
        <v>I want to be able to deploy it with containers. So it can be, um, through Kubernetes, it can be through Docker.</v>
      </c>
      <c r="H383" s="3" t="str">
        <f>IFERROR(__xludf.DUMMYFUNCTION("""COMPUTED_VALUE"""),"Use Docker as container deployment tool adopted by the course.")</f>
        <v>Use Docker as container deployment tool adopted by the course.</v>
      </c>
      <c r="I383" s="2" t="s">
        <v>875</v>
      </c>
    </row>
    <row r="384">
      <c r="A384" s="50" t="s">
        <v>3829</v>
      </c>
      <c r="B384" s="2">
        <f>IFERROR(__xludf.DUMMYFUNCTION("""COMPUTED_VALUE"""),14.0)</f>
        <v>14</v>
      </c>
      <c r="C384" s="2">
        <f>IFERROR(__xludf.DUMMYFUNCTION("""COMPUTED_VALUE"""),13.0)</f>
        <v>13</v>
      </c>
      <c r="D384" s="2" t="str">
        <f>IFERROR(__xludf.DUMMYFUNCTION("""COMPUTED_VALUE"""),"R1 / R3")</f>
        <v>R1 / R3</v>
      </c>
      <c r="E384" s="2" t="str">
        <f>IFERROR(__xludf.DUMMYFUNCTION("""COMPUTED_VALUE"""),"Tool / Technology")</f>
        <v>Tool / Technology</v>
      </c>
      <c r="F384" s="2" t="str">
        <f>IFERROR(__xludf.DUMMYFUNCTION("""COMPUTED_VALUE"""),"recommendation")</f>
        <v>recommendation</v>
      </c>
      <c r="G384" s="3" t="str">
        <f>IFERROR(__xludf.DUMMYFUNCTION("""COMPUTED_VALUE"""),"I want to be able to deploy it with containers. So it can be, um, through Kubernetes, it can be through Docker.")</f>
        <v>I want to be able to deploy it with containers. So it can be, um, through Kubernetes, it can be through Docker.</v>
      </c>
      <c r="H384" s="3" t="str">
        <f>IFERROR(__xludf.DUMMYFUNCTION("""COMPUTED_VALUE"""),"Use Kubernetes as container deployment tool adopted by the course.")</f>
        <v>Use Kubernetes as container deployment tool adopted by the course.</v>
      </c>
      <c r="I384" s="2" t="s">
        <v>875</v>
      </c>
    </row>
    <row r="385">
      <c r="A385" s="50" t="s">
        <v>3830</v>
      </c>
      <c r="B385" s="2">
        <f>IFERROR(__xludf.DUMMYFUNCTION("""COMPUTED_VALUE"""),14.0)</f>
        <v>14</v>
      </c>
      <c r="C385" s="2">
        <f>IFERROR(__xludf.DUMMYFUNCTION("""COMPUTED_VALUE"""),13.0)</f>
        <v>13</v>
      </c>
      <c r="D385" s="2" t="str">
        <f>IFERROR(__xludf.DUMMYFUNCTION("""COMPUTED_VALUE"""),"R1 / R3")</f>
        <v>R1 / R3</v>
      </c>
      <c r="E385" s="2" t="str">
        <f>IFERROR(__xludf.DUMMYFUNCTION("""COMPUTED_VALUE"""),"Tool / Technology")</f>
        <v>Tool / Technology</v>
      </c>
      <c r="F385" s="2" t="str">
        <f>IFERROR(__xludf.DUMMYFUNCTION("""COMPUTED_VALUE"""),"recommendation")</f>
        <v>recommendation</v>
      </c>
      <c r="G385" s="3" t="str">
        <f>IFERROR(__xludf.DUMMYFUNCTION("""COMPUTED_VALUE"""),"it was a graduate course, I started not to, uh, enforce given tools ... I want you to have a version control system that should be git, but git up, gitlab Bitbucket, Bitbucket on premises. ...  you can justify and defend each step of what's happening to y"&amp;"our code in the context of devops.")</f>
        <v>it was a graduate course, I started not to, uh, enforce given tools ... I want you to have a version control system that should be git, but git up, gitlab Bitbucket, Bitbucket on premises. ...  you can justify and defend each step of what's happening to your code in the context of devops.</v>
      </c>
      <c r="H385" s="3" t="str">
        <f>IFERROR(__xludf.DUMMYFUNCTION("""COMPUTED_VALUE"""),"Do not enforce given tools on a graduate course. The students should justify and defend each step of what's happening to their code in the context of devops.")</f>
        <v>Do not enforce given tools on a graduate course. The students should justify and defend each step of what's happening to their code in the context of devops.</v>
      </c>
      <c r="I385" s="2" t="s">
        <v>3831</v>
      </c>
    </row>
    <row r="386">
      <c r="A386" s="50" t="s">
        <v>3832</v>
      </c>
      <c r="B386" s="2">
        <f>IFERROR(__xludf.DUMMYFUNCTION("""COMPUTED_VALUE"""),14.0)</f>
        <v>14</v>
      </c>
      <c r="C386" s="2">
        <f>IFERROR(__xludf.DUMMYFUNCTION("""COMPUTED_VALUE"""),17.0)</f>
        <v>17</v>
      </c>
      <c r="D386" s="2" t="str">
        <f>IFERROR(__xludf.DUMMYFUNCTION("""COMPUTED_VALUE"""),"R2 / R3")</f>
        <v>R2 / R3</v>
      </c>
      <c r="E386" s="2" t="str">
        <f>IFERROR(__xludf.DUMMYFUNCTION("""COMPUTED_VALUE"""),"Class Preparation")</f>
        <v>Class Preparation</v>
      </c>
      <c r="F386" s="2" t="str">
        <f>IFERROR(__xludf.DUMMYFUNCTION("""COMPUTED_VALUE"""),"recommendation")</f>
        <v>recommendation</v>
      </c>
      <c r="G386" s="3" t="str">
        <f>IFERROR(__xludf.DUMMYFUNCTION("""COMPUTED_VALUE"""),"to carefully select the, um, I, I have a lot of industrial, uh, practitioners, guest lectures. Uh, we, we, we had the one prof that wasn't industrial.")</f>
        <v>to carefully select the, um, I, I have a lot of industrial, uh, practitioners, guest lectures. Uh, we, we, we had the one prof that wasn't industrial.</v>
      </c>
      <c r="H386" s="3" t="str">
        <f>IFERROR(__xludf.DUMMYFUNCTION("""COMPUTED_VALUE"""),"You should be careful about selecting guest lectures. Prefer industrial practitioners.")</f>
        <v>You should be careful about selecting guest lectures. Prefer industrial practitioners.</v>
      </c>
      <c r="I386" s="2" t="s">
        <v>3833</v>
      </c>
    </row>
    <row r="387">
      <c r="A387" s="50" t="s">
        <v>3834</v>
      </c>
      <c r="B387" s="2">
        <f>IFERROR(__xludf.DUMMYFUNCTION("""COMPUTED_VALUE"""),14.0)</f>
        <v>14</v>
      </c>
      <c r="C387" s="2">
        <f>IFERROR(__xludf.DUMMYFUNCTION("""COMPUTED_VALUE"""),18.0)</f>
        <v>18</v>
      </c>
      <c r="D387" s="2" t="str">
        <f>IFERROR(__xludf.DUMMYFUNCTION("""COMPUTED_VALUE"""),"R1 / R3")</f>
        <v>R1 / R3</v>
      </c>
      <c r="E387" s="2" t="str">
        <f>IFERROR(__xludf.DUMMYFUNCTION("""COMPUTED_VALUE"""),"Class Preparation")</f>
        <v>Class Preparation</v>
      </c>
      <c r="F387" s="2" t="str">
        <f>IFERROR(__xludf.DUMMYFUNCTION("""COMPUTED_VALUE"""),"recommendation")</f>
        <v>recommendation</v>
      </c>
      <c r="G387" s="3" t="str">
        <f>IFERROR(__xludf.DUMMYFUNCTION("""COMPUTED_VALUE"""),"the bigger mistake I've made was to, uh, use a coach. Uh, and we invited him and the guy was, uh, setting himself running himself as a DevOps coach, but the guy just had written books and, uh, had no idea what he was talking about. ")</f>
        <v>the bigger mistake I've made was to, uh, use a coach. Uh, and we invited him and the guy was, uh, setting himself running himself as a DevOps coach, but the guy just had written books and, uh, had no idea what he was talking about. </v>
      </c>
      <c r="H387" s="3" t="str">
        <f>IFERROR(__xludf.DUMMYFUNCTION("""COMPUTED_VALUE"""),"Do not invite a DevOps coach to do DevOps lectures.")</f>
        <v>Do not invite a DevOps coach to do DevOps lectures.</v>
      </c>
      <c r="I387" s="2" t="s">
        <v>3835</v>
      </c>
    </row>
    <row r="388">
      <c r="A388" s="50" t="s">
        <v>3836</v>
      </c>
      <c r="B388" s="2">
        <f>IFERROR(__xludf.DUMMYFUNCTION("""COMPUTED_VALUE"""),14.0)</f>
        <v>14</v>
      </c>
      <c r="C388" s="2">
        <f>IFERROR(__xludf.DUMMYFUNCTION("""COMPUTED_VALUE"""),19.0)</f>
        <v>19</v>
      </c>
      <c r="D388" s="2" t="str">
        <f>IFERROR(__xludf.DUMMYFUNCTION("""COMPUTED_VALUE"""),"R1 / R3")</f>
        <v>R1 / R3</v>
      </c>
      <c r="E388" s="2" t="str">
        <f>IFERROR(__xludf.DUMMYFUNCTION("""COMPUTED_VALUE"""),"Pedagogy")</f>
        <v>Pedagogy</v>
      </c>
      <c r="F388" s="2" t="str">
        <f>IFERROR(__xludf.DUMMYFUNCTION("""COMPUTED_VALUE"""),"recommendation")</f>
        <v>recommendation</v>
      </c>
      <c r="G388" s="3" t="str">
        <f>IFERROR(__xludf.DUMMYFUNCTION("""COMPUTED_VALUE""")," And it was selected by 80% of the cohort, which usually an elective course is like 20%. So is it like we had a lot of students inside these insights because they all wanted to learn about devops.")</f>
        <v> And it was selected by 80% of the cohort, which usually an elective course is like 20%. So is it like we had a lot of students inside these insights because they all wanted to learn about devops.</v>
      </c>
      <c r="H388" s="3" t="str">
        <f>IFERROR(__xludf.DUMMYFUNCTION("""COMPUTED_VALUE"""),"DevOps course as elective course have students that wanted to learn about DevOps.")</f>
        <v>DevOps course as elective course have students that wanted to learn about DevOps.</v>
      </c>
      <c r="I388" s="2" t="s">
        <v>1937</v>
      </c>
    </row>
    <row r="389">
      <c r="A389" s="50" t="s">
        <v>3837</v>
      </c>
      <c r="B389" s="2">
        <f>IFERROR(__xludf.DUMMYFUNCTION("""COMPUTED_VALUE"""),14.0)</f>
        <v>14</v>
      </c>
      <c r="C389" s="2">
        <f>IFERROR(__xludf.DUMMYFUNCTION("""COMPUTED_VALUE"""),20.0)</f>
        <v>20</v>
      </c>
      <c r="D389" s="2" t="str">
        <f>IFERROR(__xludf.DUMMYFUNCTION("""COMPUTED_VALUE"""),"R1 / R3")</f>
        <v>R1 / R3</v>
      </c>
      <c r="E389" s="2" t="str">
        <f>IFERROR(__xludf.DUMMYFUNCTION("""COMPUTED_VALUE"""),"Pedagogy")</f>
        <v>Pedagogy</v>
      </c>
      <c r="F389" s="2" t="str">
        <f>IFERROR(__xludf.DUMMYFUNCTION("""COMPUTED_VALUE"""),"recommendation")</f>
        <v>recommendation</v>
      </c>
      <c r="G389" s="3" t="str">
        <f>IFERROR(__xludf.DUMMYFUNCTION("""COMPUTED_VALUE"""),"we decided to go on a problem-based approach. So having like introductory lecture, giving the context, giving the leads to follow, then getting a problem based on, on, uh, like a long-term project for the whole semester.")</f>
        <v>we decided to go on a problem-based approach. So having like introductory lecture, giving the context, giving the leads to follow, then getting a problem based on, on, uh, like a long-term project for the whole semester.</v>
      </c>
      <c r="H389" s="3" t="str">
        <f>IFERROR(__xludf.DUMMYFUNCTION("""COMPUTED_VALUE"""),"Use problem-based approach on the projects of the students.")</f>
        <v>Use problem-based approach on the projects of the students.</v>
      </c>
      <c r="I389" s="2" t="s">
        <v>3838</v>
      </c>
    </row>
    <row r="390">
      <c r="A390" s="50" t="s">
        <v>3839</v>
      </c>
      <c r="B390" s="2">
        <f>IFERROR(__xludf.DUMMYFUNCTION("""COMPUTED_VALUE"""),14.0)</f>
        <v>14</v>
      </c>
      <c r="C390" s="2">
        <f>IFERROR(__xludf.DUMMYFUNCTION("""COMPUTED_VALUE"""),21.0)</f>
        <v>21</v>
      </c>
      <c r="D390" s="2" t="str">
        <f>IFERROR(__xludf.DUMMYFUNCTION("""COMPUTED_VALUE"""),"R1 / R2")</f>
        <v>R1 / R2</v>
      </c>
      <c r="E390" s="2" t="str">
        <f>IFERROR(__xludf.DUMMYFUNCTION("""COMPUTED_VALUE"""),"Assessment")</f>
        <v>Assessment</v>
      </c>
      <c r="F390" s="2" t="str">
        <f>IFERROR(__xludf.DUMMYFUNCTION("""COMPUTED_VALUE"""),"recommendation")</f>
        <v>recommendation</v>
      </c>
      <c r="G390" s="3" t="str">
        <f>IFERROR(__xludf.DUMMYFUNCTION("""COMPUTED_VALUE"""),"what we've done was first to, um, continuously evaluate the teams are they were working on the project.")</f>
        <v>what we've done was first to, um, continuously evaluate the teams are they were working on the project.</v>
      </c>
      <c r="H390" s="3" t="str">
        <f>IFERROR(__xludf.DUMMYFUNCTION("""COMPUTED_VALUE"""),"Make a continuous evaluation of the projects of the students.")</f>
        <v>Make a continuous evaluation of the projects of the students.</v>
      </c>
      <c r="I390" s="2" t="s">
        <v>3840</v>
      </c>
    </row>
    <row r="391">
      <c r="A391" s="50" t="s">
        <v>3841</v>
      </c>
      <c r="B391" s="2">
        <f>IFERROR(__xludf.DUMMYFUNCTION("""COMPUTED_VALUE"""),14.0)</f>
        <v>14</v>
      </c>
      <c r="C391" s="2">
        <f>IFERROR(__xludf.DUMMYFUNCTION("""COMPUTED_VALUE"""),22.0)</f>
        <v>22</v>
      </c>
      <c r="D391" s="2" t="str">
        <f>IFERROR(__xludf.DUMMYFUNCTION("""COMPUTED_VALUE"""),"R2 / R3")</f>
        <v>R2 / R3</v>
      </c>
      <c r="E391" s="2" t="str">
        <f>IFERROR(__xludf.DUMMYFUNCTION("""COMPUTED_VALUE"""),"Assessment")</f>
        <v>Assessment</v>
      </c>
      <c r="F391" s="2" t="str">
        <f>IFERROR(__xludf.DUMMYFUNCTION("""COMPUTED_VALUE"""),"recommendation")</f>
        <v>recommendation</v>
      </c>
      <c r="G391" s="3" t="str">
        <f>IFERROR(__xludf.DUMMYFUNCTION("""COMPUTED_VALUE"""),"like theoretical exam point of view, we use the case studies. ... you have three hours explain what you do in this situation. ...  we were really grading half of the description and half of the justification")</f>
        <v>like theoretical exam point of view, we use the case studies. ... you have three hours explain what you do in this situation. ...  we were really grading half of the description and half of the justification</v>
      </c>
      <c r="H391" s="3" t="str">
        <f>IFERROR(__xludf.DUMMYFUNCTION("""COMPUTED_VALUE"""),"We use the case studies in theoretical exam. Students have three hours to explain what they do in this situation. We were really grading half of the description and half of the justification.")</f>
        <v>We use the case studies in theoretical exam. Students have three hours to explain what they do in this situation. We were really grading half of the description and half of the justification.</v>
      </c>
      <c r="I391" s="2" t="s">
        <v>3842</v>
      </c>
    </row>
    <row r="392">
      <c r="A392" s="50" t="s">
        <v>3843</v>
      </c>
      <c r="B392" s="2">
        <f>IFERROR(__xludf.DUMMYFUNCTION("""COMPUTED_VALUE"""),14.0)</f>
        <v>14</v>
      </c>
      <c r="C392" s="2">
        <f>IFERROR(__xludf.DUMMYFUNCTION("""COMPUTED_VALUE"""),23.0)</f>
        <v>23</v>
      </c>
      <c r="D392" s="2" t="str">
        <f>IFERROR(__xludf.DUMMYFUNCTION("""COMPUTED_VALUE"""),"R1 / R3")</f>
        <v>R1 / R3</v>
      </c>
      <c r="E392" s="2" t="str">
        <f>IFERROR(__xludf.DUMMYFUNCTION("""COMPUTED_VALUE"""),"Assessment")</f>
        <v>Assessment</v>
      </c>
      <c r="F392" s="2" t="str">
        <f>IFERROR(__xludf.DUMMYFUNCTION("""COMPUTED_VALUE"""),"recommendation")</f>
        <v>recommendation</v>
      </c>
      <c r="G392" s="3" t="str">
        <f>IFERROR(__xludf.DUMMYFUNCTION("""COMPUTED_VALUE"""),"he grade scale was half description, half justification, and that's helped a lot, but it's always, um, qualitative in this way.")</f>
        <v>he grade scale was half description, half justification, and that's helped a lot, but it's always, um, qualitative in this way.</v>
      </c>
      <c r="H392" s="3" t="str">
        <f>IFERROR(__xludf.DUMMYFUNCTION("""COMPUTED_VALUE"""),"It is helpful to use the description and the justification of case studies on qualitative grade scale.")</f>
        <v>It is helpful to use the description and the justification of case studies on qualitative grade scale.</v>
      </c>
      <c r="I392" s="2" t="s">
        <v>3844</v>
      </c>
    </row>
    <row r="393">
      <c r="A393" s="50" t="s">
        <v>3845</v>
      </c>
      <c r="B393" s="2">
        <f>IFERROR(__xludf.DUMMYFUNCTION("""COMPUTED_VALUE"""),14.0)</f>
        <v>14</v>
      </c>
      <c r="C393" s="2">
        <f>IFERROR(__xludf.DUMMYFUNCTION("""COMPUTED_VALUE"""),23.0)</f>
        <v>23</v>
      </c>
      <c r="D393" s="2" t="str">
        <f>IFERROR(__xludf.DUMMYFUNCTION("""COMPUTED_VALUE"""),"R1 / R3")</f>
        <v>R1 / R3</v>
      </c>
      <c r="E393" s="2" t="str">
        <f>IFERROR(__xludf.DUMMYFUNCTION("""COMPUTED_VALUE"""),"Assessment")</f>
        <v>Assessment</v>
      </c>
      <c r="F393" s="2" t="str">
        <f>IFERROR(__xludf.DUMMYFUNCTION("""COMPUTED_VALUE"""),"recommendation")</f>
        <v>recommendation</v>
      </c>
      <c r="G393" s="3" t="str">
        <f>IFERROR(__xludf.DUMMYFUNCTION("""COMPUTED_VALUE""")," what we've done in this case was to let the TA grade the projects, um, because then it was way more simple. And as the two props, we were, uh, grading the exams and were like cross validating.")</f>
        <v> what we've done in this case was to let the TA grade the projects, um, because then it was way more simple. And as the two props, we were, uh, grading the exams and were like cross validating.</v>
      </c>
      <c r="H393" s="3" t="str">
        <f>IFERROR(__xludf.DUMMYFUNCTION("""COMPUTED_VALUE"""),"Teacher assistants grade the projects and the professors grade the exams with cross validating.")</f>
        <v>Teacher assistants grade the projects and the professors grade the exams with cross validating.</v>
      </c>
      <c r="I393" s="2" t="s">
        <v>3846</v>
      </c>
    </row>
    <row r="394">
      <c r="A394" s="50" t="s">
        <v>3847</v>
      </c>
      <c r="B394" s="2">
        <f>IFERROR(__xludf.DUMMYFUNCTION("""COMPUTED_VALUE"""),14.0)</f>
        <v>14</v>
      </c>
      <c r="C394" s="2">
        <f>IFERROR(__xludf.DUMMYFUNCTION("""COMPUTED_VALUE"""),24.0)</f>
        <v>24</v>
      </c>
      <c r="D394" s="2" t="str">
        <f>IFERROR(__xludf.DUMMYFUNCTION("""COMPUTED_VALUE"""),"R1 / R3")</f>
        <v>R1 / R3</v>
      </c>
      <c r="E394" s="2" t="str">
        <f>IFERROR(__xludf.DUMMYFUNCTION("""COMPUTED_VALUE"""),"Curriculum")</f>
        <v>Curriculum</v>
      </c>
      <c r="F394" s="2" t="str">
        <f>IFERROR(__xludf.DUMMYFUNCTION("""COMPUTED_VALUE"""),"recommendation")</f>
        <v>recommendation</v>
      </c>
      <c r="G394" s="3" t="str">
        <f>IFERROR(__xludf.DUMMYFUNCTION("""COMPUTED_VALUE"""),"The course about, uh, software architecture and DevOps, or we're talking about a different way of architecting software, um, mainly distributed system, because it was easier for the DevOps parts who were triggered challenges was a distributed system.  ..."&amp;" And they had one, one lecture in the morning lecture slash lab and one lecture slash lab in the afternoon. And they were really like Friday was dedicated to DevOps slash uh, architecture.
")</f>
        <v>The course about, uh, software architecture and DevOps, or we're talking about a different way of architecting software, um, mainly distributed system, because it was easier for the DevOps parts who were triggered challenges was a distributed system.  ... And they had one, one lecture in the morning lecture slash lab and one lecture slash lab in the afternoon. And they were really like Friday was dedicated to DevOps slash uh, architecture.
</v>
      </c>
      <c r="H394" s="3" t="str">
        <f>IFERROR(__xludf.DUMMYFUNCTION("""COMPUTED_VALUE"""),"The courses of software architecture and DevOps taught in the same day.")</f>
        <v>The courses of software architecture and DevOps taught in the same day.</v>
      </c>
      <c r="I394" s="2" t="s">
        <v>3848</v>
      </c>
    </row>
  </sheetData>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3.0" ySplit="1.0" topLeftCell="D2" activePane="bottomRight" state="frozen"/>
      <selection activeCell="D1" sqref="D1" pane="topRight"/>
      <selection activeCell="A2" sqref="A2" pane="bottomLeft"/>
      <selection activeCell="D2" sqref="D2" pane="bottomRight"/>
    </sheetView>
  </sheetViews>
  <sheetFormatPr customHeight="1" defaultColWidth="14.43" defaultRowHeight="15.75"/>
  <cols>
    <col customWidth="1" min="1" max="1" width="14.71"/>
    <col customWidth="1" min="2" max="2" width="10.14"/>
    <col customWidth="1" min="3" max="3" width="16.14"/>
    <col customWidth="1" min="4" max="4" width="23.57"/>
    <col customWidth="1" min="5" max="5" width="84.43"/>
    <col customWidth="1" min="6" max="6" width="56.71"/>
    <col customWidth="1" min="7" max="7" width="42.14"/>
    <col customWidth="1" min="8" max="8" width="25.0"/>
    <col customWidth="1" hidden="1" min="9" max="9" width="16.57"/>
    <col customWidth="1" min="10" max="10" width="17.29"/>
    <col customWidth="1" min="11" max="11" width="16.86"/>
    <col customWidth="1" min="12" max="12" width="15.14"/>
    <col customWidth="1" min="13" max="13" width="18.0"/>
    <col customWidth="1" min="14" max="14" width="14.43"/>
    <col customWidth="1" min="15" max="15" width="22.29"/>
    <col customWidth="1" min="16" max="17" width="12.71"/>
    <col customWidth="1" min="18" max="18" width="16.14"/>
    <col customWidth="1" min="19" max="19" width="24.29"/>
  </cols>
  <sheetData>
    <row r="1">
      <c r="A1" s="47" t="s">
        <v>3158</v>
      </c>
      <c r="B1" s="1" t="s">
        <v>3159</v>
      </c>
      <c r="C1" s="1" t="s">
        <v>3160</v>
      </c>
      <c r="D1" s="1" t="s">
        <v>3</v>
      </c>
      <c r="E1" s="1" t="s">
        <v>3161</v>
      </c>
      <c r="F1" s="1" t="s">
        <v>3162</v>
      </c>
      <c r="G1" s="1" t="s">
        <v>3163</v>
      </c>
      <c r="H1" s="53" t="s">
        <v>3164</v>
      </c>
      <c r="I1" s="53" t="s">
        <v>3165</v>
      </c>
      <c r="J1" s="53" t="s">
        <v>3166</v>
      </c>
      <c r="K1" s="53" t="s">
        <v>3167</v>
      </c>
      <c r="L1" s="53" t="s">
        <v>3168</v>
      </c>
      <c r="M1" s="53" t="s">
        <v>3169</v>
      </c>
      <c r="N1" s="53" t="s">
        <v>3170</v>
      </c>
      <c r="O1" s="53" t="s">
        <v>3171</v>
      </c>
      <c r="P1" s="68" t="s">
        <v>3172</v>
      </c>
      <c r="Q1" s="68" t="s">
        <v>3173</v>
      </c>
      <c r="R1" s="68" t="s">
        <v>3174</v>
      </c>
      <c r="S1" s="32" t="s">
        <v>3175</v>
      </c>
    </row>
    <row r="2">
      <c r="A2" s="48" t="s">
        <v>2792</v>
      </c>
      <c r="B2" s="2">
        <v>1.0</v>
      </c>
      <c r="C2" s="69" t="s">
        <v>3176</v>
      </c>
      <c r="D2" s="2" t="s">
        <v>19</v>
      </c>
      <c r="E2" s="70" t="s">
        <v>3849</v>
      </c>
      <c r="F2" s="2" t="s">
        <v>3850</v>
      </c>
      <c r="G2" s="2" t="s">
        <v>3851</v>
      </c>
      <c r="H2" s="54" t="str">
        <f t="shared" ref="H2:H186" si="1">"(" &amp; LEFT(I2, LEN(I2)-1) &amp; ")"</f>
        <v>(P1,P3,P4,P7,P12)</v>
      </c>
      <c r="I2" s="54" t="str">
        <f>IFERROR(__xludf.DUMMYFUNCTION("concatenate(ARRAYFORMULA(""P"" &amp; SPLIT(J2, "","") &amp; "",""))"),"P1,P3,P4,P7,P12,")</f>
        <v>P1,P3,P4,P7,P12,</v>
      </c>
      <c r="J2" s="54" t="str">
        <f>IFERROR(__xludf.DUMMYFUNCTION("ArrayFormula(textjoin("", "",true,unique(trim(split(M2,"","")),true)))"),"1, 3, 4, 7, 12")</f>
        <v>1, 3, 4, 7, 12</v>
      </c>
      <c r="K2" s="71" t="s">
        <v>3852</v>
      </c>
      <c r="L2" s="71" t="s">
        <v>3853</v>
      </c>
      <c r="M2" s="54" t="str">
        <f t="shared" ref="M2:M186" si="2">if(ISBLANK(K2),C2,concatenate(C2,", ",K2))</f>
        <v>01, 03, 04, 07, 12</v>
      </c>
      <c r="N2" s="71">
        <f>IFERROR(__xludf.DUMMYFUNCTION("countunique(split(M2, "", ""))"),5.0)</f>
        <v>5</v>
      </c>
      <c r="O2" s="71">
        <f>IFERROR(__xludf.DUMMYFUNCTION("countif(split(K2,"",""),C2)"),0.0)</f>
        <v>0</v>
      </c>
      <c r="P2" s="55" t="b">
        <f>IFERROR(__xludf.DUMMYFUNCTION("MIN(split(J2,"",""))&lt;=7"),TRUE)</f>
        <v>1</v>
      </c>
      <c r="Q2" s="55" t="b">
        <f>IFERROR(__xludf.DUMMYFUNCTION("max(split(J2,"",""))&gt;=8"),TRUE)</f>
        <v>1</v>
      </c>
      <c r="R2" s="55" t="b">
        <f t="shared" ref="R2:R186" si="3">and(P2,Q2)</f>
        <v>1</v>
      </c>
      <c r="S2" s="2"/>
    </row>
    <row r="3">
      <c r="A3" s="48" t="s">
        <v>2794</v>
      </c>
      <c r="B3" s="2">
        <v>2.0</v>
      </c>
      <c r="C3" s="69" t="s">
        <v>3176</v>
      </c>
      <c r="D3" s="2" t="s">
        <v>19</v>
      </c>
      <c r="E3" s="70" t="s">
        <v>3854</v>
      </c>
      <c r="F3" s="2" t="s">
        <v>3855</v>
      </c>
      <c r="G3" s="2" t="s">
        <v>1981</v>
      </c>
      <c r="H3" s="54" t="str">
        <f t="shared" si="1"/>
        <v>(P1)</v>
      </c>
      <c r="I3" s="54" t="str">
        <f>IFERROR(__xludf.DUMMYFUNCTION("concatenate(ARRAYFORMULA(""P"" &amp; SPLIT(J3, "","") &amp; "",""))"),"P1,")</f>
        <v>P1,</v>
      </c>
      <c r="J3" s="54" t="str">
        <f>IFERROR(__xludf.DUMMYFUNCTION("ArrayFormula(textjoin("", "",true,unique(trim(split(M3,"","")),true)))"),"1")</f>
        <v>1</v>
      </c>
      <c r="K3" s="72" t="s">
        <v>3856</v>
      </c>
      <c r="L3" s="72" t="s">
        <v>3857</v>
      </c>
      <c r="M3" s="54" t="str">
        <f t="shared" si="2"/>
        <v>01, 01, 01</v>
      </c>
      <c r="N3" s="71">
        <f>IFERROR(__xludf.DUMMYFUNCTION("countunique(split(M3, "", ""))"),1.0)</f>
        <v>1</v>
      </c>
      <c r="O3" s="71">
        <f>IFERROR(__xludf.DUMMYFUNCTION("countif(split(K3,"",""),C3)"),2.0)</f>
        <v>2</v>
      </c>
      <c r="P3" s="55" t="b">
        <f>IFERROR(__xludf.DUMMYFUNCTION("MIN(split(J3,"",""))&lt;=7"),TRUE)</f>
        <v>1</v>
      </c>
      <c r="Q3" s="55" t="b">
        <f>IFERROR(__xludf.DUMMYFUNCTION("max(split(J3,"",""))&gt;=8"),FALSE)</f>
        <v>0</v>
      </c>
      <c r="R3" s="55" t="b">
        <f t="shared" si="3"/>
        <v>0</v>
      </c>
      <c r="S3" s="2"/>
    </row>
    <row r="4">
      <c r="A4" s="48" t="s">
        <v>2800</v>
      </c>
      <c r="B4" s="2">
        <v>4.0</v>
      </c>
      <c r="C4" s="48" t="s">
        <v>3176</v>
      </c>
      <c r="D4" s="2" t="s">
        <v>19</v>
      </c>
      <c r="E4" s="70" t="s">
        <v>3371</v>
      </c>
      <c r="F4" s="2" t="s">
        <v>1986</v>
      </c>
      <c r="G4" s="2"/>
      <c r="H4" s="54" t="str">
        <f t="shared" si="1"/>
        <v>(P1)</v>
      </c>
      <c r="I4" s="54" t="str">
        <f>IFERROR(__xludf.DUMMYFUNCTION("concatenate(ARRAYFORMULA(""P"" &amp; SPLIT(J4, "","") &amp; "",""))"),"P1,")</f>
        <v>P1,</v>
      </c>
      <c r="J4" s="54" t="str">
        <f>IFERROR(__xludf.DUMMYFUNCTION("ArrayFormula(textjoin("", "",true,unique(trim(split(M4,"","")),true)))"),"1")</f>
        <v>1</v>
      </c>
      <c r="K4" s="71"/>
      <c r="L4" s="71"/>
      <c r="M4" s="54" t="str">
        <f t="shared" si="2"/>
        <v>01</v>
      </c>
      <c r="N4" s="71">
        <f>IFERROR(__xludf.DUMMYFUNCTION("countunique(split(M4, "", ""))"),1.0)</f>
        <v>1</v>
      </c>
      <c r="O4" s="71">
        <f>IFERROR(__xludf.DUMMYFUNCTION("countif(split(K4,"",""),C4)"),0.0)</f>
        <v>0</v>
      </c>
      <c r="P4" s="55" t="b">
        <f>IFERROR(__xludf.DUMMYFUNCTION("MIN(split(J4,"",""))&lt;=7"),TRUE)</f>
        <v>1</v>
      </c>
      <c r="Q4" s="55" t="b">
        <f>IFERROR(__xludf.DUMMYFUNCTION("max(split(J4,"",""))&gt;=8"),FALSE)</f>
        <v>0</v>
      </c>
      <c r="R4" s="55" t="b">
        <f t="shared" si="3"/>
        <v>0</v>
      </c>
      <c r="S4" s="2"/>
    </row>
    <row r="5">
      <c r="A5" s="48" t="s">
        <v>2802</v>
      </c>
      <c r="B5" s="2">
        <v>5.0</v>
      </c>
      <c r="C5" s="48" t="s">
        <v>3176</v>
      </c>
      <c r="D5" s="2" t="s">
        <v>19</v>
      </c>
      <c r="E5" s="70" t="s">
        <v>3858</v>
      </c>
      <c r="F5" s="2" t="s">
        <v>3859</v>
      </c>
      <c r="G5" s="2" t="s">
        <v>3860</v>
      </c>
      <c r="H5" s="54" t="str">
        <f t="shared" si="1"/>
        <v>(P1,P2,P3,P5,P7)</v>
      </c>
      <c r="I5" s="54" t="str">
        <f>IFERROR(__xludf.DUMMYFUNCTION("concatenate(ARRAYFORMULA(""P"" &amp; SPLIT(J5, "","") &amp; "",""))"),"P1,P2,P3,P5,P7,")</f>
        <v>P1,P2,P3,P5,P7,</v>
      </c>
      <c r="J5" s="54" t="str">
        <f>IFERROR(__xludf.DUMMYFUNCTION("ArrayFormula(textjoin("", "",true,unique(trim(split(M5,"","")),true)))"),"1, 2, 3, 5, 7")</f>
        <v>1, 2, 3, 5, 7</v>
      </c>
      <c r="K5" s="71" t="s">
        <v>3861</v>
      </c>
      <c r="L5" s="71" t="s">
        <v>3862</v>
      </c>
      <c r="M5" s="54" t="str">
        <f t="shared" si="2"/>
        <v>01, 01, 02, 03, 05, 07, 07</v>
      </c>
      <c r="N5" s="71">
        <f>IFERROR(__xludf.DUMMYFUNCTION("countunique(split(M5, "", ""))"),5.0)</f>
        <v>5</v>
      </c>
      <c r="O5" s="71">
        <f>IFERROR(__xludf.DUMMYFUNCTION("countif(split(K5,"",""),C5)"),1.0)</f>
        <v>1</v>
      </c>
      <c r="P5" s="55" t="b">
        <f>IFERROR(__xludf.DUMMYFUNCTION("MIN(split(J5,"",""))&lt;=7"),TRUE)</f>
        <v>1</v>
      </c>
      <c r="Q5" s="55" t="b">
        <f>IFERROR(__xludf.DUMMYFUNCTION("max(split(J5,"",""))&gt;=8"),FALSE)</f>
        <v>0</v>
      </c>
      <c r="R5" s="55" t="b">
        <f t="shared" si="3"/>
        <v>0</v>
      </c>
      <c r="S5" s="2"/>
    </row>
    <row r="6">
      <c r="A6" s="48" t="s">
        <v>2810</v>
      </c>
      <c r="B6" s="2">
        <v>7.0</v>
      </c>
      <c r="C6" s="48" t="s">
        <v>3176</v>
      </c>
      <c r="D6" s="2" t="s">
        <v>19</v>
      </c>
      <c r="E6" s="70" t="s">
        <v>3376</v>
      </c>
      <c r="F6" s="2" t="s">
        <v>1991</v>
      </c>
      <c r="G6" s="2"/>
      <c r="H6" s="54" t="str">
        <f t="shared" si="1"/>
        <v>(P1)</v>
      </c>
      <c r="I6" s="54" t="str">
        <f>IFERROR(__xludf.DUMMYFUNCTION("concatenate(ARRAYFORMULA(""P"" &amp; SPLIT(J6, "","") &amp; "",""))"),"P1,")</f>
        <v>P1,</v>
      </c>
      <c r="J6" s="54" t="str">
        <f>IFERROR(__xludf.DUMMYFUNCTION("ArrayFormula(textjoin("", "",true,unique(trim(split(M6,"","")),true)))"),"1")</f>
        <v>1</v>
      </c>
      <c r="K6" s="71"/>
      <c r="L6" s="71"/>
      <c r="M6" s="54" t="str">
        <f t="shared" si="2"/>
        <v>01</v>
      </c>
      <c r="N6" s="71">
        <f>IFERROR(__xludf.DUMMYFUNCTION("countunique(split(M6, "", ""))"),1.0)</f>
        <v>1</v>
      </c>
      <c r="O6" s="71">
        <f>IFERROR(__xludf.DUMMYFUNCTION("countif(split(K6,"",""),C6)"),0.0)</f>
        <v>0</v>
      </c>
      <c r="P6" s="55" t="b">
        <f>IFERROR(__xludf.DUMMYFUNCTION("MIN(split(J6,"",""))&lt;=7"),TRUE)</f>
        <v>1</v>
      </c>
      <c r="Q6" s="55" t="b">
        <f>IFERROR(__xludf.DUMMYFUNCTION("max(split(J6,"",""))&gt;=8"),FALSE)</f>
        <v>0</v>
      </c>
      <c r="R6" s="55" t="b">
        <f t="shared" si="3"/>
        <v>0</v>
      </c>
      <c r="S6" s="2"/>
    </row>
    <row r="7">
      <c r="A7" s="48" t="s">
        <v>2812</v>
      </c>
      <c r="B7" s="2">
        <v>8.0</v>
      </c>
      <c r="C7" s="48" t="s">
        <v>3176</v>
      </c>
      <c r="D7" s="2" t="s">
        <v>19</v>
      </c>
      <c r="E7" s="70" t="s">
        <v>3377</v>
      </c>
      <c r="F7" s="2" t="s">
        <v>1993</v>
      </c>
      <c r="G7" s="2"/>
      <c r="H7" s="54" t="str">
        <f t="shared" si="1"/>
        <v>(P1)</v>
      </c>
      <c r="I7" s="54" t="str">
        <f>IFERROR(__xludf.DUMMYFUNCTION("concatenate(ARRAYFORMULA(""P"" &amp; SPLIT(J7, "","") &amp; "",""))"),"P1,")</f>
        <v>P1,</v>
      </c>
      <c r="J7" s="54" t="str">
        <f>IFERROR(__xludf.DUMMYFUNCTION("ArrayFormula(textjoin("", "",true,unique(trim(split(M7,"","")),true)))"),"1")</f>
        <v>1</v>
      </c>
      <c r="K7" s="71"/>
      <c r="L7" s="71"/>
      <c r="M7" s="54" t="str">
        <f t="shared" si="2"/>
        <v>01</v>
      </c>
      <c r="N7" s="71">
        <f>IFERROR(__xludf.DUMMYFUNCTION("countunique(split(M7, "", ""))"),1.0)</f>
        <v>1</v>
      </c>
      <c r="O7" s="71">
        <f>IFERROR(__xludf.DUMMYFUNCTION("countif(split(K7,"",""),C7)"),0.0)</f>
        <v>0</v>
      </c>
      <c r="P7" s="55" t="b">
        <f>IFERROR(__xludf.DUMMYFUNCTION("MIN(split(J7,"",""))&lt;=7"),TRUE)</f>
        <v>1</v>
      </c>
      <c r="Q7" s="55" t="b">
        <f>IFERROR(__xludf.DUMMYFUNCTION("max(split(J7,"",""))&gt;=8"),FALSE)</f>
        <v>0</v>
      </c>
      <c r="R7" s="55" t="b">
        <f t="shared" si="3"/>
        <v>0</v>
      </c>
      <c r="S7" s="2"/>
    </row>
    <row r="8">
      <c r="A8" s="48" t="s">
        <v>2814</v>
      </c>
      <c r="B8" s="2">
        <v>9.0</v>
      </c>
      <c r="C8" s="48" t="s">
        <v>3176</v>
      </c>
      <c r="D8" s="2" t="s">
        <v>19</v>
      </c>
      <c r="E8" s="70" t="s">
        <v>3863</v>
      </c>
      <c r="F8" s="2" t="s">
        <v>3864</v>
      </c>
      <c r="G8" s="2" t="s">
        <v>3865</v>
      </c>
      <c r="H8" s="54" t="str">
        <f t="shared" si="1"/>
        <v>(P1,P2,P3,P5,P6,P7,P10)</v>
      </c>
      <c r="I8" s="54" t="str">
        <f>IFERROR(__xludf.DUMMYFUNCTION("concatenate(ARRAYFORMULA(""P"" &amp; SPLIT(J8, "","") &amp; "",""))"),"P1,P2,P3,P5,P6,P7,P10,")</f>
        <v>P1,P2,P3,P5,P6,P7,P10,</v>
      </c>
      <c r="J8" s="54" t="str">
        <f>IFERROR(__xludf.DUMMYFUNCTION("ArrayFormula(textjoin("", "",true,unique(trim(split(M8,"","")),true)))"),"1, 2, 3, 5, 6, 7, 10")</f>
        <v>1, 2, 3, 5, 6, 7, 10</v>
      </c>
      <c r="K8" s="71" t="s">
        <v>3866</v>
      </c>
      <c r="L8" s="71" t="s">
        <v>3867</v>
      </c>
      <c r="M8" s="54" t="str">
        <f t="shared" si="2"/>
        <v>01, 01, 01, 02, 03, 03, 05, 05, 06, 07, 07, 10</v>
      </c>
      <c r="N8" s="71">
        <f>IFERROR(__xludf.DUMMYFUNCTION("countunique(split(M8, "", ""))"),7.0)</f>
        <v>7</v>
      </c>
      <c r="O8" s="71">
        <f>IFERROR(__xludf.DUMMYFUNCTION("countif(split(K8,"",""),C8)"),2.0)</f>
        <v>2</v>
      </c>
      <c r="P8" s="55" t="b">
        <f>IFERROR(__xludf.DUMMYFUNCTION("MIN(split(J8,"",""))&lt;=7"),TRUE)</f>
        <v>1</v>
      </c>
      <c r="Q8" s="55" t="b">
        <f>IFERROR(__xludf.DUMMYFUNCTION("max(split(J8,"",""))&gt;=8"),TRUE)</f>
        <v>1</v>
      </c>
      <c r="R8" s="55" t="b">
        <f t="shared" si="3"/>
        <v>1</v>
      </c>
      <c r="S8" s="2"/>
    </row>
    <row r="9">
      <c r="A9" s="48" t="s">
        <v>2820</v>
      </c>
      <c r="B9" s="2">
        <v>10.0</v>
      </c>
      <c r="C9" s="48" t="s">
        <v>3176</v>
      </c>
      <c r="D9" s="2" t="s">
        <v>19</v>
      </c>
      <c r="E9" s="70" t="s">
        <v>3868</v>
      </c>
      <c r="F9" s="2" t="s">
        <v>3869</v>
      </c>
      <c r="G9" s="2" t="s">
        <v>3870</v>
      </c>
      <c r="H9" s="54" t="str">
        <f t="shared" si="1"/>
        <v>(P1,P8,P10,P11)</v>
      </c>
      <c r="I9" s="54" t="str">
        <f>IFERROR(__xludf.DUMMYFUNCTION("concatenate(ARRAYFORMULA(""P"" &amp; SPLIT(J9, "","") &amp; "",""))"),"P1,P8,P10,P11,")</f>
        <v>P1,P8,P10,P11,</v>
      </c>
      <c r="J9" s="54" t="str">
        <f>IFERROR(__xludf.DUMMYFUNCTION("ArrayFormula(textjoin("", "",true,unique(trim(split(M9,"","")),true)))"),"1, 8, 10, 11")</f>
        <v>1, 8, 10, 11</v>
      </c>
      <c r="K9" s="71" t="s">
        <v>3871</v>
      </c>
      <c r="L9" s="71" t="s">
        <v>3872</v>
      </c>
      <c r="M9" s="54" t="str">
        <f t="shared" si="2"/>
        <v>01, 01, 01, 08, 10, 10, 11</v>
      </c>
      <c r="N9" s="71">
        <f>IFERROR(__xludf.DUMMYFUNCTION("countunique(split(M9, "", ""))"),4.0)</f>
        <v>4</v>
      </c>
      <c r="O9" s="71">
        <f>IFERROR(__xludf.DUMMYFUNCTION("countif(split(K9,"",""),C9)"),2.0)</f>
        <v>2</v>
      </c>
      <c r="P9" s="55" t="b">
        <f>IFERROR(__xludf.DUMMYFUNCTION("MIN(split(J9,"",""))&lt;=7"),TRUE)</f>
        <v>1</v>
      </c>
      <c r="Q9" s="55" t="b">
        <f>IFERROR(__xludf.DUMMYFUNCTION("max(split(J9,"",""))&gt;=8"),TRUE)</f>
        <v>1</v>
      </c>
      <c r="R9" s="55" t="b">
        <f t="shared" si="3"/>
        <v>1</v>
      </c>
      <c r="S9" s="2"/>
    </row>
    <row r="10">
      <c r="A10" s="48" t="s">
        <v>2822</v>
      </c>
      <c r="B10" s="2">
        <v>11.0</v>
      </c>
      <c r="C10" s="48" t="s">
        <v>3176</v>
      </c>
      <c r="D10" s="2" t="s">
        <v>19</v>
      </c>
      <c r="E10" s="70" t="s">
        <v>3873</v>
      </c>
      <c r="F10" s="2" t="s">
        <v>3874</v>
      </c>
      <c r="G10" s="2" t="s">
        <v>2002</v>
      </c>
      <c r="H10" s="54" t="str">
        <f t="shared" si="1"/>
        <v>(P1,P2)</v>
      </c>
      <c r="I10" s="54" t="str">
        <f>IFERROR(__xludf.DUMMYFUNCTION("concatenate(ARRAYFORMULA(""P"" &amp; SPLIT(J10, "","") &amp; "",""))"),"P1,P2,")</f>
        <v>P1,P2,</v>
      </c>
      <c r="J10" s="54" t="str">
        <f>IFERROR(__xludf.DUMMYFUNCTION("ArrayFormula(textjoin("", "",true,unique(trim(split(M10,"","")),true)))"),"1, 2")</f>
        <v>1, 2</v>
      </c>
      <c r="K10" s="73" t="s">
        <v>3215</v>
      </c>
      <c r="L10" s="71" t="s">
        <v>2828</v>
      </c>
      <c r="M10" s="54" t="str">
        <f t="shared" si="2"/>
        <v>01, 02</v>
      </c>
      <c r="N10" s="71">
        <f>IFERROR(__xludf.DUMMYFUNCTION("countunique(split(M10, "", ""))"),2.0)</f>
        <v>2</v>
      </c>
      <c r="O10" s="71">
        <f>IFERROR(__xludf.DUMMYFUNCTION("countif(split(K10,"",""),C10)"),0.0)</f>
        <v>0</v>
      </c>
      <c r="P10" s="55" t="b">
        <f>IFERROR(__xludf.DUMMYFUNCTION("MIN(split(J10,"",""))&lt;=7"),TRUE)</f>
        <v>1</v>
      </c>
      <c r="Q10" s="55" t="b">
        <f>IFERROR(__xludf.DUMMYFUNCTION("max(split(J10,"",""))&gt;=8"),FALSE)</f>
        <v>0</v>
      </c>
      <c r="R10" s="55" t="b">
        <f t="shared" si="3"/>
        <v>0</v>
      </c>
      <c r="S10" s="2"/>
    </row>
    <row r="11">
      <c r="A11" s="48" t="s">
        <v>2824</v>
      </c>
      <c r="B11" s="2">
        <v>12.0</v>
      </c>
      <c r="C11" s="48" t="s">
        <v>3176</v>
      </c>
      <c r="D11" s="2" t="s">
        <v>19</v>
      </c>
      <c r="E11" s="70" t="s">
        <v>3875</v>
      </c>
      <c r="F11" s="2" t="s">
        <v>3876</v>
      </c>
      <c r="G11" s="2" t="s">
        <v>3877</v>
      </c>
      <c r="H11" s="54" t="str">
        <f t="shared" si="1"/>
        <v>(P1)</v>
      </c>
      <c r="I11" s="54" t="str">
        <f>IFERROR(__xludf.DUMMYFUNCTION("concatenate(ARRAYFORMULA(""P"" &amp; SPLIT(J11, "","") &amp; "",""))"),"P1,")</f>
        <v>P1,</v>
      </c>
      <c r="J11" s="54" t="str">
        <f>IFERROR(__xludf.DUMMYFUNCTION("ArrayFormula(textjoin("", "",true,unique(trim(split(M11,"","")),true)))"),"1")</f>
        <v>1</v>
      </c>
      <c r="K11" s="71" t="s">
        <v>3176</v>
      </c>
      <c r="L11" s="71" t="s">
        <v>2860</v>
      </c>
      <c r="M11" s="54" t="str">
        <f t="shared" si="2"/>
        <v>01, 01</v>
      </c>
      <c r="N11" s="71">
        <f>IFERROR(__xludf.DUMMYFUNCTION("countunique(split(M11, "", ""))"),1.0)</f>
        <v>1</v>
      </c>
      <c r="O11" s="71">
        <f>IFERROR(__xludf.DUMMYFUNCTION("countif(split(K11,"",""),C11)"),1.0)</f>
        <v>1</v>
      </c>
      <c r="P11" s="55" t="b">
        <f>IFERROR(__xludf.DUMMYFUNCTION("MIN(split(J11,"",""))&lt;=7"),TRUE)</f>
        <v>1</v>
      </c>
      <c r="Q11" s="55" t="b">
        <f>IFERROR(__xludf.DUMMYFUNCTION("max(split(J11,"",""))&gt;=8"),FALSE)</f>
        <v>0</v>
      </c>
      <c r="R11" s="55" t="b">
        <f t="shared" si="3"/>
        <v>0</v>
      </c>
      <c r="S11" s="2"/>
    </row>
    <row r="12">
      <c r="A12" s="48" t="s">
        <v>2826</v>
      </c>
      <c r="B12" s="2">
        <v>13.0</v>
      </c>
      <c r="C12" s="69" t="s">
        <v>3215</v>
      </c>
      <c r="D12" s="2" t="s">
        <v>19</v>
      </c>
      <c r="E12" s="70" t="s">
        <v>3878</v>
      </c>
      <c r="F12" s="2" t="s">
        <v>3879</v>
      </c>
      <c r="G12" s="2" t="s">
        <v>3880</v>
      </c>
      <c r="H12" s="54" t="str">
        <f t="shared" si="1"/>
        <v>(P2,P12)</v>
      </c>
      <c r="I12" s="54" t="str">
        <f>IFERROR(__xludf.DUMMYFUNCTION("concatenate(ARRAYFORMULA(""P"" &amp; SPLIT(J12, "","") &amp; "",""))"),"P2,P12,")</f>
        <v>P2,P12,</v>
      </c>
      <c r="J12" s="54" t="str">
        <f>IFERROR(__xludf.DUMMYFUNCTION("ArrayFormula(textjoin("", "",true,unique(trim(split(M12,"","")),true)))"),"2, 12")</f>
        <v>2, 12</v>
      </c>
      <c r="K12" s="71" t="s">
        <v>3881</v>
      </c>
      <c r="L12" s="71" t="s">
        <v>3882</v>
      </c>
      <c r="M12" s="54" t="str">
        <f t="shared" si="2"/>
        <v>02, 12, 12, 12, 12</v>
      </c>
      <c r="N12" s="71">
        <f>IFERROR(__xludf.DUMMYFUNCTION("countunique(split(M12, "", ""))"),2.0)</f>
        <v>2</v>
      </c>
      <c r="O12" s="71">
        <f>IFERROR(__xludf.DUMMYFUNCTION("countif(split(K12,"",""),C12)"),0.0)</f>
        <v>0</v>
      </c>
      <c r="P12" s="55" t="b">
        <f>IFERROR(__xludf.DUMMYFUNCTION("MIN(split(J12,"",""))&lt;=7"),TRUE)</f>
        <v>1</v>
      </c>
      <c r="Q12" s="55" t="b">
        <f>IFERROR(__xludf.DUMMYFUNCTION("max(split(J12,"",""))&gt;=8"),TRUE)</f>
        <v>1</v>
      </c>
      <c r="R12" s="55" t="b">
        <f t="shared" si="3"/>
        <v>1</v>
      </c>
      <c r="S12" s="2"/>
    </row>
    <row r="13">
      <c r="A13" s="48" t="s">
        <v>2830</v>
      </c>
      <c r="B13" s="2">
        <v>14.0</v>
      </c>
      <c r="C13" s="69" t="s">
        <v>3215</v>
      </c>
      <c r="D13" s="2" t="s">
        <v>19</v>
      </c>
      <c r="E13" s="70" t="s">
        <v>3389</v>
      </c>
      <c r="F13" s="2" t="s">
        <v>2015</v>
      </c>
      <c r="G13" s="2"/>
      <c r="H13" s="54" t="str">
        <f t="shared" si="1"/>
        <v>(P2)</v>
      </c>
      <c r="I13" s="54" t="str">
        <f>IFERROR(__xludf.DUMMYFUNCTION("concatenate(ARRAYFORMULA(""P"" &amp; SPLIT(J13, "","") &amp; "",""))"),"P2,")</f>
        <v>P2,</v>
      </c>
      <c r="J13" s="54" t="str">
        <f>IFERROR(__xludf.DUMMYFUNCTION("ArrayFormula(textjoin("", "",true,unique(trim(split(M13,"","")),true)))"),"2")</f>
        <v>2</v>
      </c>
      <c r="K13" s="71"/>
      <c r="L13" s="71"/>
      <c r="M13" s="54" t="str">
        <f t="shared" si="2"/>
        <v>02</v>
      </c>
      <c r="N13" s="71">
        <f>IFERROR(__xludf.DUMMYFUNCTION("countunique(split(M13, "", ""))"),1.0)</f>
        <v>1</v>
      </c>
      <c r="O13" s="71">
        <f>IFERROR(__xludf.DUMMYFUNCTION("countif(split(K13,"",""),C13)"),0.0)</f>
        <v>0</v>
      </c>
      <c r="P13" s="55" t="b">
        <f>IFERROR(__xludf.DUMMYFUNCTION("MIN(split(J13,"",""))&lt;=7"),TRUE)</f>
        <v>1</v>
      </c>
      <c r="Q13" s="55" t="b">
        <f>IFERROR(__xludf.DUMMYFUNCTION("max(split(J13,"",""))&gt;=8"),FALSE)</f>
        <v>0</v>
      </c>
      <c r="R13" s="55" t="b">
        <f t="shared" si="3"/>
        <v>0</v>
      </c>
      <c r="S13" s="2"/>
    </row>
    <row r="14">
      <c r="A14" s="48" t="s">
        <v>2832</v>
      </c>
      <c r="B14" s="2">
        <v>15.0</v>
      </c>
      <c r="C14" s="48" t="s">
        <v>3215</v>
      </c>
      <c r="D14" s="2" t="s">
        <v>19</v>
      </c>
      <c r="E14" s="70" t="s">
        <v>3883</v>
      </c>
      <c r="F14" s="2" t="s">
        <v>3884</v>
      </c>
      <c r="G14" s="2" t="s">
        <v>3885</v>
      </c>
      <c r="H14" s="54" t="str">
        <f t="shared" si="1"/>
        <v>(P2,P6)</v>
      </c>
      <c r="I14" s="54" t="str">
        <f>IFERROR(__xludf.DUMMYFUNCTION("concatenate(ARRAYFORMULA(""P"" &amp; SPLIT(J14, "","") &amp; "",""))"),"P2,P6,")</f>
        <v>P2,P6,</v>
      </c>
      <c r="J14" s="54" t="str">
        <f>IFERROR(__xludf.DUMMYFUNCTION("ArrayFormula(textjoin("", "",true,unique(trim(split(M14,"","")),true)))"),"2, 6")</f>
        <v>2, 6</v>
      </c>
      <c r="K14" s="71" t="s">
        <v>3886</v>
      </c>
      <c r="L14" s="71" t="s">
        <v>3887</v>
      </c>
      <c r="M14" s="54" t="str">
        <f t="shared" si="2"/>
        <v>02, 02, 02, 06</v>
      </c>
      <c r="N14" s="71">
        <f>IFERROR(__xludf.DUMMYFUNCTION("countunique(split(M14, "", ""))"),2.0)</f>
        <v>2</v>
      </c>
      <c r="O14" s="71">
        <f>IFERROR(__xludf.DUMMYFUNCTION("countif(split(K14,"",""),C14)"),2.0)</f>
        <v>2</v>
      </c>
      <c r="P14" s="55" t="b">
        <f>IFERROR(__xludf.DUMMYFUNCTION("MIN(split(J14,"",""))&lt;=7"),TRUE)</f>
        <v>1</v>
      </c>
      <c r="Q14" s="55" t="b">
        <f>IFERROR(__xludf.DUMMYFUNCTION("max(split(J14,"",""))&gt;=8"),FALSE)</f>
        <v>0</v>
      </c>
      <c r="R14" s="55" t="b">
        <f t="shared" si="3"/>
        <v>0</v>
      </c>
      <c r="S14" s="2"/>
    </row>
    <row r="15">
      <c r="A15" s="48" t="s">
        <v>2836</v>
      </c>
      <c r="B15" s="2">
        <v>16.0</v>
      </c>
      <c r="C15" s="48" t="s">
        <v>3215</v>
      </c>
      <c r="D15" s="2" t="s">
        <v>19</v>
      </c>
      <c r="E15" s="70" t="s">
        <v>3888</v>
      </c>
      <c r="F15" s="2" t="s">
        <v>3889</v>
      </c>
      <c r="G15" s="2" t="s">
        <v>2020</v>
      </c>
      <c r="H15" s="54" t="str">
        <f t="shared" si="1"/>
        <v>(P2)</v>
      </c>
      <c r="I15" s="54" t="str">
        <f>IFERROR(__xludf.DUMMYFUNCTION("concatenate(ARRAYFORMULA(""P"" &amp; SPLIT(J15, "","") &amp; "",""))"),"P2,")</f>
        <v>P2,</v>
      </c>
      <c r="J15" s="54" t="str">
        <f>IFERROR(__xludf.DUMMYFUNCTION("ArrayFormula(textjoin("", "",true,unique(trim(split(M15,"","")),true)))"),"2")</f>
        <v>2</v>
      </c>
      <c r="K15" s="71" t="s">
        <v>3890</v>
      </c>
      <c r="L15" s="71" t="s">
        <v>3891</v>
      </c>
      <c r="M15" s="54" t="str">
        <f t="shared" si="2"/>
        <v>02, 02, 02</v>
      </c>
      <c r="N15" s="71">
        <f>IFERROR(__xludf.DUMMYFUNCTION("countunique(split(M15, "", ""))"),1.0)</f>
        <v>1</v>
      </c>
      <c r="O15" s="71">
        <f>IFERROR(__xludf.DUMMYFUNCTION("countif(split(K15,"",""),C15)"),2.0)</f>
        <v>2</v>
      </c>
      <c r="P15" s="55" t="b">
        <f>IFERROR(__xludf.DUMMYFUNCTION("MIN(split(J15,"",""))&lt;=7"),TRUE)</f>
        <v>1</v>
      </c>
      <c r="Q15" s="55" t="b">
        <f>IFERROR(__xludf.DUMMYFUNCTION("max(split(J15,"",""))&gt;=8"),FALSE)</f>
        <v>0</v>
      </c>
      <c r="R15" s="55" t="b">
        <f t="shared" si="3"/>
        <v>0</v>
      </c>
      <c r="S15" s="2"/>
    </row>
    <row r="16">
      <c r="A16" s="48" t="s">
        <v>2840</v>
      </c>
      <c r="B16" s="2">
        <v>17.0</v>
      </c>
      <c r="C16" s="48" t="s">
        <v>3215</v>
      </c>
      <c r="D16" s="2" t="s">
        <v>19</v>
      </c>
      <c r="E16" s="70" t="s">
        <v>3892</v>
      </c>
      <c r="F16" s="2" t="s">
        <v>3893</v>
      </c>
      <c r="G16" s="2" t="s">
        <v>2022</v>
      </c>
      <c r="H16" s="54" t="str">
        <f t="shared" si="1"/>
        <v>(P2,P6)</v>
      </c>
      <c r="I16" s="54" t="str">
        <f>IFERROR(__xludf.DUMMYFUNCTION("concatenate(ARRAYFORMULA(""P"" &amp; SPLIT(J16, "","") &amp; "",""))"),"P2,P6,")</f>
        <v>P2,P6,</v>
      </c>
      <c r="J16" s="54" t="str">
        <f>IFERROR(__xludf.DUMMYFUNCTION("ArrayFormula(textjoin("", "",true,unique(trim(split(M16,"","")),true)))"),"2, 6")</f>
        <v>2, 6</v>
      </c>
      <c r="K16" s="71" t="s">
        <v>3318</v>
      </c>
      <c r="L16" s="71" t="s">
        <v>3036</v>
      </c>
      <c r="M16" s="54" t="str">
        <f t="shared" si="2"/>
        <v>02, 06</v>
      </c>
      <c r="N16" s="71">
        <f>IFERROR(__xludf.DUMMYFUNCTION("countunique(split(M16, "", ""))"),2.0)</f>
        <v>2</v>
      </c>
      <c r="O16" s="71">
        <f>IFERROR(__xludf.DUMMYFUNCTION("countif(split(K16,"",""),C16)"),0.0)</f>
        <v>0</v>
      </c>
      <c r="P16" s="55" t="b">
        <f>IFERROR(__xludf.DUMMYFUNCTION("MIN(split(J16,"",""))&lt;=7"),TRUE)</f>
        <v>1</v>
      </c>
      <c r="Q16" s="55" t="b">
        <f>IFERROR(__xludf.DUMMYFUNCTION("max(split(J16,"",""))&gt;=8"),FALSE)</f>
        <v>0</v>
      </c>
      <c r="R16" s="55" t="b">
        <f t="shared" si="3"/>
        <v>0</v>
      </c>
      <c r="S16" s="2"/>
    </row>
    <row r="17">
      <c r="A17" s="48" t="s">
        <v>2842</v>
      </c>
      <c r="B17" s="2">
        <v>18.0</v>
      </c>
      <c r="C17" s="48" t="s">
        <v>3215</v>
      </c>
      <c r="D17" s="2" t="s">
        <v>19</v>
      </c>
      <c r="E17" s="70" t="s">
        <v>3395</v>
      </c>
      <c r="F17" s="2" t="s">
        <v>2023</v>
      </c>
      <c r="G17" s="2"/>
      <c r="H17" s="54" t="str">
        <f t="shared" si="1"/>
        <v>(P2)</v>
      </c>
      <c r="I17" s="54" t="str">
        <f>IFERROR(__xludf.DUMMYFUNCTION("concatenate(ARRAYFORMULA(""P"" &amp; SPLIT(J17, "","") &amp; "",""))"),"P2,")</f>
        <v>P2,</v>
      </c>
      <c r="J17" s="54" t="str">
        <f>IFERROR(__xludf.DUMMYFUNCTION("ArrayFormula(textjoin("", "",true,unique(trim(split(M17,"","")),true)))"),"2")</f>
        <v>2</v>
      </c>
      <c r="K17" s="71"/>
      <c r="L17" s="71"/>
      <c r="M17" s="54" t="str">
        <f t="shared" si="2"/>
        <v>02</v>
      </c>
      <c r="N17" s="71">
        <f>IFERROR(__xludf.DUMMYFUNCTION("countunique(split(M17, "", ""))"),1.0)</f>
        <v>1</v>
      </c>
      <c r="O17" s="71">
        <f>IFERROR(__xludf.DUMMYFUNCTION("countif(split(K17,"",""),C17)"),0.0)</f>
        <v>0</v>
      </c>
      <c r="P17" s="55" t="b">
        <f>IFERROR(__xludf.DUMMYFUNCTION("MIN(split(J17,"",""))&lt;=7"),TRUE)</f>
        <v>1</v>
      </c>
      <c r="Q17" s="55" t="b">
        <f>IFERROR(__xludf.DUMMYFUNCTION("max(split(J17,"",""))&gt;=8"),FALSE)</f>
        <v>0</v>
      </c>
      <c r="R17" s="55" t="b">
        <f t="shared" si="3"/>
        <v>0</v>
      </c>
      <c r="S17" s="2"/>
    </row>
    <row r="18">
      <c r="A18" s="48" t="s">
        <v>2846</v>
      </c>
      <c r="B18" s="2">
        <v>19.0</v>
      </c>
      <c r="C18" s="48" t="s">
        <v>3215</v>
      </c>
      <c r="D18" s="2" t="s">
        <v>19</v>
      </c>
      <c r="E18" s="70" t="s">
        <v>3398</v>
      </c>
      <c r="F18" s="2" t="s">
        <v>2028</v>
      </c>
      <c r="G18" s="2"/>
      <c r="H18" s="54" t="str">
        <f t="shared" si="1"/>
        <v>(P2)</v>
      </c>
      <c r="I18" s="54" t="str">
        <f>IFERROR(__xludf.DUMMYFUNCTION("concatenate(ARRAYFORMULA(""P"" &amp; SPLIT(J18, "","") &amp; "",""))"),"P2,")</f>
        <v>P2,</v>
      </c>
      <c r="J18" s="54" t="str">
        <f>IFERROR(__xludf.DUMMYFUNCTION("ArrayFormula(textjoin("", "",true,unique(trim(split(M18,"","")),true)))"),"2")</f>
        <v>2</v>
      </c>
      <c r="K18" s="71"/>
      <c r="L18" s="71"/>
      <c r="M18" s="54" t="str">
        <f t="shared" si="2"/>
        <v>02</v>
      </c>
      <c r="N18" s="71">
        <f>IFERROR(__xludf.DUMMYFUNCTION("countunique(split(M18, "", ""))"),1.0)</f>
        <v>1</v>
      </c>
      <c r="O18" s="71">
        <f>IFERROR(__xludf.DUMMYFUNCTION("countif(split(K18,"",""),C18)"),0.0)</f>
        <v>0</v>
      </c>
      <c r="P18" s="55" t="b">
        <f>IFERROR(__xludf.DUMMYFUNCTION("MIN(split(J18,"",""))&lt;=7"),TRUE)</f>
        <v>1</v>
      </c>
      <c r="Q18" s="55" t="b">
        <f>IFERROR(__xludf.DUMMYFUNCTION("max(split(J18,"",""))&gt;=8"),FALSE)</f>
        <v>0</v>
      </c>
      <c r="R18" s="55" t="b">
        <f t="shared" si="3"/>
        <v>0</v>
      </c>
      <c r="S18" s="2"/>
    </row>
    <row r="19">
      <c r="A19" s="48" t="s">
        <v>2850</v>
      </c>
      <c r="B19" s="2">
        <v>20.0</v>
      </c>
      <c r="C19" s="48" t="s">
        <v>3215</v>
      </c>
      <c r="D19" s="2" t="s">
        <v>19</v>
      </c>
      <c r="E19" s="70" t="s">
        <v>3400</v>
      </c>
      <c r="F19" s="2" t="s">
        <v>2036</v>
      </c>
      <c r="G19" s="2"/>
      <c r="H19" s="54" t="str">
        <f t="shared" si="1"/>
        <v>(P2)</v>
      </c>
      <c r="I19" s="54" t="str">
        <f>IFERROR(__xludf.DUMMYFUNCTION("concatenate(ARRAYFORMULA(""P"" &amp; SPLIT(J19, "","") &amp; "",""))"),"P2,")</f>
        <v>P2,</v>
      </c>
      <c r="J19" s="54" t="str">
        <f>IFERROR(__xludf.DUMMYFUNCTION("ArrayFormula(textjoin("", "",true,unique(trim(split(M19,"","")),true)))"),"2")</f>
        <v>2</v>
      </c>
      <c r="K19" s="71"/>
      <c r="L19" s="71"/>
      <c r="M19" s="54" t="str">
        <f t="shared" si="2"/>
        <v>02</v>
      </c>
      <c r="N19" s="71">
        <f>IFERROR(__xludf.DUMMYFUNCTION("countunique(split(M19, "", ""))"),1.0)</f>
        <v>1</v>
      </c>
      <c r="O19" s="71">
        <f>IFERROR(__xludf.DUMMYFUNCTION("countif(split(K19,"",""),C19)"),0.0)</f>
        <v>0</v>
      </c>
      <c r="P19" s="55" t="b">
        <f>IFERROR(__xludf.DUMMYFUNCTION("MIN(split(J19,"",""))&lt;=7"),TRUE)</f>
        <v>1</v>
      </c>
      <c r="Q19" s="55" t="b">
        <f>IFERROR(__xludf.DUMMYFUNCTION("max(split(J19,"",""))&gt;=8"),FALSE)</f>
        <v>0</v>
      </c>
      <c r="R19" s="55" t="b">
        <f t="shared" si="3"/>
        <v>0</v>
      </c>
      <c r="S19" s="2"/>
    </row>
    <row r="20">
      <c r="A20" s="48" t="s">
        <v>2852</v>
      </c>
      <c r="B20" s="2">
        <v>21.0</v>
      </c>
      <c r="C20" s="48" t="s">
        <v>3215</v>
      </c>
      <c r="D20" s="2" t="s">
        <v>19</v>
      </c>
      <c r="E20" s="70" t="s">
        <v>3894</v>
      </c>
      <c r="F20" s="2" t="s">
        <v>3895</v>
      </c>
      <c r="G20" s="2" t="s">
        <v>2388</v>
      </c>
      <c r="H20" s="54" t="str">
        <f t="shared" si="1"/>
        <v>(P2,P8)</v>
      </c>
      <c r="I20" s="54" t="str">
        <f>IFERROR(__xludf.DUMMYFUNCTION("concatenate(ARRAYFORMULA(""P"" &amp; SPLIT(J20, "","") &amp; "",""))"),"P2,P8,")</f>
        <v>P2,P8,</v>
      </c>
      <c r="J20" s="54" t="str">
        <f>IFERROR(__xludf.DUMMYFUNCTION("ArrayFormula(textjoin("", "",true,unique(trim(split(M20,"","")),true)))"),"2, 8")</f>
        <v>2, 8</v>
      </c>
      <c r="K20" s="71" t="s">
        <v>3896</v>
      </c>
      <c r="L20" s="71" t="s">
        <v>3897</v>
      </c>
      <c r="M20" s="54" t="str">
        <f t="shared" si="2"/>
        <v>02, 08, 08</v>
      </c>
      <c r="N20" s="71">
        <f>IFERROR(__xludf.DUMMYFUNCTION("countunique(split(M20, "", ""))"),2.0)</f>
        <v>2</v>
      </c>
      <c r="O20" s="71">
        <f>IFERROR(__xludf.DUMMYFUNCTION("countif(split(K20,"",""),C20)"),0.0)</f>
        <v>0</v>
      </c>
      <c r="P20" s="55" t="b">
        <f>IFERROR(__xludf.DUMMYFUNCTION("MIN(split(J20,"",""))&lt;=7"),TRUE)</f>
        <v>1</v>
      </c>
      <c r="Q20" s="55" t="b">
        <f>IFERROR(__xludf.DUMMYFUNCTION("max(split(J20,"",""))&gt;=8"),TRUE)</f>
        <v>1</v>
      </c>
      <c r="R20" s="55" t="b">
        <f t="shared" si="3"/>
        <v>1</v>
      </c>
      <c r="S20" s="2"/>
    </row>
    <row r="21">
      <c r="A21" s="48" t="s">
        <v>2854</v>
      </c>
      <c r="B21" s="2">
        <v>22.0</v>
      </c>
      <c r="C21" s="48" t="s">
        <v>3215</v>
      </c>
      <c r="D21" s="2" t="s">
        <v>19</v>
      </c>
      <c r="E21" s="70" t="s">
        <v>3402</v>
      </c>
      <c r="F21" s="2" t="s">
        <v>2038</v>
      </c>
      <c r="G21" s="2"/>
      <c r="H21" s="54" t="str">
        <f t="shared" si="1"/>
        <v>(P2)</v>
      </c>
      <c r="I21" s="54" t="str">
        <f>IFERROR(__xludf.DUMMYFUNCTION("concatenate(ARRAYFORMULA(""P"" &amp; SPLIT(J21, "","") &amp; "",""))"),"P2,")</f>
        <v>P2,</v>
      </c>
      <c r="J21" s="54" t="str">
        <f>IFERROR(__xludf.DUMMYFUNCTION("ArrayFormula(textjoin("", "",true,unique(trim(split(M21,"","")),true)))"),"2")</f>
        <v>2</v>
      </c>
      <c r="K21" s="71"/>
      <c r="L21" s="71"/>
      <c r="M21" s="54" t="str">
        <f t="shared" si="2"/>
        <v>02</v>
      </c>
      <c r="N21" s="71">
        <f>IFERROR(__xludf.DUMMYFUNCTION("countunique(split(M21, "", ""))"),1.0)</f>
        <v>1</v>
      </c>
      <c r="O21" s="71">
        <f>IFERROR(__xludf.DUMMYFUNCTION("countif(split(K21,"",""),C21)"),0.0)</f>
        <v>0</v>
      </c>
      <c r="P21" s="55" t="b">
        <f>IFERROR(__xludf.DUMMYFUNCTION("MIN(split(J21,"",""))&lt;=7"),TRUE)</f>
        <v>1</v>
      </c>
      <c r="Q21" s="55" t="b">
        <f>IFERROR(__xludf.DUMMYFUNCTION("max(split(J21,"",""))&gt;=8"),FALSE)</f>
        <v>0</v>
      </c>
      <c r="R21" s="55" t="b">
        <f t="shared" si="3"/>
        <v>0</v>
      </c>
      <c r="S21" s="2"/>
    </row>
    <row r="22">
      <c r="A22" s="48" t="s">
        <v>2858</v>
      </c>
      <c r="B22" s="2">
        <v>23.0</v>
      </c>
      <c r="C22" s="48" t="s">
        <v>3215</v>
      </c>
      <c r="D22" s="2" t="s">
        <v>19</v>
      </c>
      <c r="E22" s="70" t="s">
        <v>3404</v>
      </c>
      <c r="F22" s="2" t="s">
        <v>2041</v>
      </c>
      <c r="G22" s="2"/>
      <c r="H22" s="54" t="str">
        <f t="shared" si="1"/>
        <v>(P2)</v>
      </c>
      <c r="I22" s="54" t="str">
        <f>IFERROR(__xludf.DUMMYFUNCTION("concatenate(ARRAYFORMULA(""P"" &amp; SPLIT(J22, "","") &amp; "",""))"),"P2,")</f>
        <v>P2,</v>
      </c>
      <c r="J22" s="54" t="str">
        <f>IFERROR(__xludf.DUMMYFUNCTION("ArrayFormula(textjoin("", "",true,unique(trim(split(M22,"","")),true)))"),"2")</f>
        <v>2</v>
      </c>
      <c r="K22" s="71"/>
      <c r="L22" s="71"/>
      <c r="M22" s="54" t="str">
        <f t="shared" si="2"/>
        <v>02</v>
      </c>
      <c r="N22" s="71">
        <f>IFERROR(__xludf.DUMMYFUNCTION("countunique(split(M22, "", ""))"),1.0)</f>
        <v>1</v>
      </c>
      <c r="O22" s="71">
        <f>IFERROR(__xludf.DUMMYFUNCTION("countif(split(K22,"",""),C22)"),0.0)</f>
        <v>0</v>
      </c>
      <c r="P22" s="55" t="b">
        <f>IFERROR(__xludf.DUMMYFUNCTION("MIN(split(J22,"",""))&lt;=7"),TRUE)</f>
        <v>1</v>
      </c>
      <c r="Q22" s="55" t="b">
        <f>IFERROR(__xludf.DUMMYFUNCTION("max(split(J22,"",""))&gt;=8"),FALSE)</f>
        <v>0</v>
      </c>
      <c r="R22" s="55" t="b">
        <f t="shared" si="3"/>
        <v>0</v>
      </c>
      <c r="S22" s="2"/>
    </row>
    <row r="23">
      <c r="A23" s="48" t="s">
        <v>2862</v>
      </c>
      <c r="B23" s="2">
        <v>24.0</v>
      </c>
      <c r="C23" s="48" t="s">
        <v>3215</v>
      </c>
      <c r="D23" s="2" t="s">
        <v>19</v>
      </c>
      <c r="E23" s="70" t="s">
        <v>3387</v>
      </c>
      <c r="F23" s="2" t="s">
        <v>2011</v>
      </c>
      <c r="G23" s="2"/>
      <c r="H23" s="54" t="str">
        <f t="shared" si="1"/>
        <v>(P2)</v>
      </c>
      <c r="I23" s="54" t="str">
        <f>IFERROR(__xludf.DUMMYFUNCTION("concatenate(ARRAYFORMULA(""P"" &amp; SPLIT(J23, "","") &amp; "",""))"),"P2,")</f>
        <v>P2,</v>
      </c>
      <c r="J23" s="54" t="str">
        <f>IFERROR(__xludf.DUMMYFUNCTION("ArrayFormula(textjoin("", "",true,unique(trim(split(M23,"","")),true)))"),"2")</f>
        <v>2</v>
      </c>
      <c r="K23" s="71"/>
      <c r="L23" s="71"/>
      <c r="M23" s="54" t="str">
        <f t="shared" si="2"/>
        <v>02</v>
      </c>
      <c r="N23" s="71">
        <f>IFERROR(__xludf.DUMMYFUNCTION("countunique(split(M23, "", ""))"),1.0)</f>
        <v>1</v>
      </c>
      <c r="O23" s="71">
        <f>IFERROR(__xludf.DUMMYFUNCTION("countif(split(K23,"",""),C23)"),0.0)</f>
        <v>0</v>
      </c>
      <c r="P23" s="55" t="b">
        <f>IFERROR(__xludf.DUMMYFUNCTION("MIN(split(J23,"",""))&lt;=7"),TRUE)</f>
        <v>1</v>
      </c>
      <c r="Q23" s="55" t="b">
        <f>IFERROR(__xludf.DUMMYFUNCTION("max(split(J23,"",""))&gt;=8"),FALSE)</f>
        <v>0</v>
      </c>
      <c r="R23" s="55" t="b">
        <f t="shared" si="3"/>
        <v>0</v>
      </c>
      <c r="S23" s="2"/>
    </row>
    <row r="24">
      <c r="A24" s="48" t="s">
        <v>2864</v>
      </c>
      <c r="B24" s="2">
        <v>25.0</v>
      </c>
      <c r="C24" s="48" t="s">
        <v>3215</v>
      </c>
      <c r="D24" s="2" t="s">
        <v>19</v>
      </c>
      <c r="E24" s="70" t="s">
        <v>3898</v>
      </c>
      <c r="F24" s="2" t="s">
        <v>2027</v>
      </c>
      <c r="G24" s="2"/>
      <c r="H24" s="54" t="str">
        <f t="shared" si="1"/>
        <v>(P2)</v>
      </c>
      <c r="I24" s="54" t="str">
        <f>IFERROR(__xludf.DUMMYFUNCTION("concatenate(ARRAYFORMULA(""P"" &amp; SPLIT(J24, "","") &amp; "",""))"),"P2,")</f>
        <v>P2,</v>
      </c>
      <c r="J24" s="54" t="str">
        <f>IFERROR(__xludf.DUMMYFUNCTION("ArrayFormula(textjoin("", "",true,unique(trim(split(M24,"","")),true)))"),"2")</f>
        <v>2</v>
      </c>
      <c r="K24" s="71"/>
      <c r="L24" s="71"/>
      <c r="M24" s="54" t="str">
        <f t="shared" si="2"/>
        <v>02</v>
      </c>
      <c r="N24" s="71">
        <f>IFERROR(__xludf.DUMMYFUNCTION("countunique(split(M24, "", ""))"),1.0)</f>
        <v>1</v>
      </c>
      <c r="O24" s="71">
        <f>IFERROR(__xludf.DUMMYFUNCTION("countif(split(K24,"",""),C24)"),0.0)</f>
        <v>0</v>
      </c>
      <c r="P24" s="55" t="b">
        <f>IFERROR(__xludf.DUMMYFUNCTION("MIN(split(J24,"",""))&lt;=7"),TRUE)</f>
        <v>1</v>
      </c>
      <c r="Q24" s="55" t="b">
        <f>IFERROR(__xludf.DUMMYFUNCTION("max(split(J24,"",""))&gt;=8"),FALSE)</f>
        <v>0</v>
      </c>
      <c r="R24" s="55" t="b">
        <f t="shared" si="3"/>
        <v>0</v>
      </c>
      <c r="S24" s="2"/>
    </row>
    <row r="25">
      <c r="A25" s="65" t="s">
        <v>2868</v>
      </c>
      <c r="B25" s="2">
        <v>26.0</v>
      </c>
      <c r="C25" s="69" t="s">
        <v>3235</v>
      </c>
      <c r="D25" s="2" t="s">
        <v>19</v>
      </c>
      <c r="E25" s="70" t="s">
        <v>3406</v>
      </c>
      <c r="F25" s="2" t="s">
        <v>2044</v>
      </c>
      <c r="G25" s="2"/>
      <c r="H25" s="54" t="str">
        <f t="shared" si="1"/>
        <v>(P3)</v>
      </c>
      <c r="I25" s="54" t="str">
        <f>IFERROR(__xludf.DUMMYFUNCTION("concatenate(ARRAYFORMULA(""P"" &amp; SPLIT(J25, "","") &amp; "",""))"),"P3,")</f>
        <v>P3,</v>
      </c>
      <c r="J25" s="54" t="str">
        <f>IFERROR(__xludf.DUMMYFUNCTION("ArrayFormula(textjoin("", "",true,unique(trim(split(M25,"","")),true)))"),"3")</f>
        <v>3</v>
      </c>
      <c r="K25" s="74"/>
      <c r="L25" s="74"/>
      <c r="M25" s="54" t="str">
        <f t="shared" si="2"/>
        <v>03</v>
      </c>
      <c r="N25" s="71">
        <f>IFERROR(__xludf.DUMMYFUNCTION("countunique(split(M25, "", ""))"),1.0)</f>
        <v>1</v>
      </c>
      <c r="O25" s="71">
        <f>IFERROR(__xludf.DUMMYFUNCTION("countif(split(K25,"",""),C25)"),0.0)</f>
        <v>0</v>
      </c>
      <c r="P25" s="55" t="b">
        <f>IFERROR(__xludf.DUMMYFUNCTION("MIN(split(J25,"",""))&lt;=7"),TRUE)</f>
        <v>1</v>
      </c>
      <c r="Q25" s="55" t="b">
        <f>IFERROR(__xludf.DUMMYFUNCTION("max(split(J25,"",""))&gt;=8"),FALSE)</f>
        <v>0</v>
      </c>
      <c r="R25" s="55" t="b">
        <f t="shared" si="3"/>
        <v>0</v>
      </c>
      <c r="S25" s="2"/>
    </row>
    <row r="26">
      <c r="A26" s="65" t="s">
        <v>2870</v>
      </c>
      <c r="B26" s="42">
        <v>27.0</v>
      </c>
      <c r="C26" s="69" t="s">
        <v>3235</v>
      </c>
      <c r="D26" s="42" t="s">
        <v>19</v>
      </c>
      <c r="E26" s="75" t="s">
        <v>3407</v>
      </c>
      <c r="F26" s="42" t="s">
        <v>2045</v>
      </c>
      <c r="G26" s="42"/>
      <c r="H26" s="54" t="str">
        <f t="shared" si="1"/>
        <v>(P3)</v>
      </c>
      <c r="I26" s="54" t="str">
        <f>IFERROR(__xludf.DUMMYFUNCTION("concatenate(ARRAYFORMULA(""P"" &amp; SPLIT(J26, "","") &amp; "",""))"),"P3,")</f>
        <v>P3,</v>
      </c>
      <c r="J26" s="54" t="str">
        <f>IFERROR(__xludf.DUMMYFUNCTION("ArrayFormula(textjoin("", "",true,unique(trim(split(M26,"","")),true)))"),"3")</f>
        <v>3</v>
      </c>
      <c r="K26" s="65"/>
      <c r="L26" s="65"/>
      <c r="M26" s="54" t="str">
        <f t="shared" si="2"/>
        <v>03</v>
      </c>
      <c r="N26" s="71">
        <f>IFERROR(__xludf.DUMMYFUNCTION("countunique(split(M26, "", ""))"),1.0)</f>
        <v>1</v>
      </c>
      <c r="O26" s="71">
        <f>IFERROR(__xludf.DUMMYFUNCTION("countif(split(K26,"",""),C26)"),0.0)</f>
        <v>0</v>
      </c>
      <c r="P26" s="55" t="b">
        <f>IFERROR(__xludf.DUMMYFUNCTION("MIN(split(J26,"",""))&lt;=7"),TRUE)</f>
        <v>1</v>
      </c>
      <c r="Q26" s="55" t="b">
        <f>IFERROR(__xludf.DUMMYFUNCTION("max(split(J26,"",""))&gt;=8"),FALSE)</f>
        <v>0</v>
      </c>
      <c r="R26" s="55" t="b">
        <f t="shared" si="3"/>
        <v>0</v>
      </c>
      <c r="S26" s="42"/>
    </row>
    <row r="27">
      <c r="A27" s="65" t="s">
        <v>2874</v>
      </c>
      <c r="B27" s="42">
        <v>29.0</v>
      </c>
      <c r="C27" s="48" t="s">
        <v>3235</v>
      </c>
      <c r="D27" s="42" t="s">
        <v>19</v>
      </c>
      <c r="E27" s="75" t="s">
        <v>3899</v>
      </c>
      <c r="F27" s="42" t="s">
        <v>3900</v>
      </c>
      <c r="G27" s="42" t="s">
        <v>2047</v>
      </c>
      <c r="H27" s="54" t="str">
        <f t="shared" si="1"/>
        <v>(P3)</v>
      </c>
      <c r="I27" s="54" t="str">
        <f>IFERROR(__xludf.DUMMYFUNCTION("concatenate(ARRAYFORMULA(""P"" &amp; SPLIT(J27, "","") &amp; "",""))"),"P3,")</f>
        <v>P3,</v>
      </c>
      <c r="J27" s="54" t="str">
        <f>IFERROR(__xludf.DUMMYFUNCTION("ArrayFormula(textjoin("", "",true,unique(trim(split(M27,"","")),true)))"),"3")</f>
        <v>3</v>
      </c>
      <c r="K27" s="65" t="s">
        <v>3235</v>
      </c>
      <c r="L27" s="65" t="s">
        <v>2896</v>
      </c>
      <c r="M27" s="54" t="str">
        <f t="shared" si="2"/>
        <v>03, 03</v>
      </c>
      <c r="N27" s="71">
        <f>IFERROR(__xludf.DUMMYFUNCTION("countunique(split(M27, "", ""))"),1.0)</f>
        <v>1</v>
      </c>
      <c r="O27" s="71">
        <f>IFERROR(__xludf.DUMMYFUNCTION("countif(split(K27,"",""),C27)"),1.0)</f>
        <v>1</v>
      </c>
      <c r="P27" s="55" t="b">
        <f>IFERROR(__xludf.DUMMYFUNCTION("MIN(split(J27,"",""))&lt;=7"),TRUE)</f>
        <v>1</v>
      </c>
      <c r="Q27" s="55" t="b">
        <f>IFERROR(__xludf.DUMMYFUNCTION("max(split(J27,"",""))&gt;=8"),FALSE)</f>
        <v>0</v>
      </c>
      <c r="R27" s="55" t="b">
        <f t="shared" si="3"/>
        <v>0</v>
      </c>
      <c r="S27" s="42"/>
    </row>
    <row r="28">
      <c r="A28" s="65" t="s">
        <v>2878</v>
      </c>
      <c r="B28" s="2">
        <v>30.0</v>
      </c>
      <c r="C28" s="48" t="s">
        <v>3235</v>
      </c>
      <c r="D28" s="2" t="s">
        <v>19</v>
      </c>
      <c r="E28" s="70" t="s">
        <v>3901</v>
      </c>
      <c r="F28" s="42" t="s">
        <v>3902</v>
      </c>
      <c r="G28" s="2" t="s">
        <v>3903</v>
      </c>
      <c r="H28" s="54" t="str">
        <f t="shared" si="1"/>
        <v>(P3,P4,P11,P12)</v>
      </c>
      <c r="I28" s="54" t="str">
        <f>IFERROR(__xludf.DUMMYFUNCTION("concatenate(ARRAYFORMULA(""P"" &amp; SPLIT(J28, "","") &amp; "",""))"),"P3,P4,P11,P12,")</f>
        <v>P3,P4,P11,P12,</v>
      </c>
      <c r="J28" s="54" t="str">
        <f>IFERROR(__xludf.DUMMYFUNCTION("ArrayFormula(textjoin("", "",true,unique(trim(split(M28,"","")),true)))"),"3, 4, 11, 12")</f>
        <v>3, 4, 11, 12</v>
      </c>
      <c r="K28" s="65" t="s">
        <v>3904</v>
      </c>
      <c r="L28" s="65" t="s">
        <v>3905</v>
      </c>
      <c r="M28" s="54" t="str">
        <f t="shared" si="2"/>
        <v>03, 04, 04, 11, 12</v>
      </c>
      <c r="N28" s="71">
        <f>IFERROR(__xludf.DUMMYFUNCTION("countunique(split(M28, "", ""))"),4.0)</f>
        <v>4</v>
      </c>
      <c r="O28" s="71">
        <f>IFERROR(__xludf.DUMMYFUNCTION("countif(split(K28,"",""),C28)"),0.0)</f>
        <v>0</v>
      </c>
      <c r="P28" s="55" t="b">
        <f>IFERROR(__xludf.DUMMYFUNCTION("MIN(split(J28,"",""))&lt;=7"),TRUE)</f>
        <v>1</v>
      </c>
      <c r="Q28" s="55" t="b">
        <f>IFERROR(__xludf.DUMMYFUNCTION("max(split(J28,"",""))&gt;=8"),TRUE)</f>
        <v>1</v>
      </c>
      <c r="R28" s="55" t="b">
        <f t="shared" si="3"/>
        <v>1</v>
      </c>
      <c r="S28" s="2"/>
    </row>
    <row r="29">
      <c r="A29" s="65" t="s">
        <v>2882</v>
      </c>
      <c r="B29" s="2">
        <v>32.0</v>
      </c>
      <c r="C29" s="48" t="s">
        <v>3235</v>
      </c>
      <c r="D29" s="42" t="s">
        <v>19</v>
      </c>
      <c r="E29" s="75" t="s">
        <v>3906</v>
      </c>
      <c r="F29" s="42" t="s">
        <v>3907</v>
      </c>
      <c r="G29" s="42" t="s">
        <v>2062</v>
      </c>
      <c r="H29" s="54" t="str">
        <f t="shared" si="1"/>
        <v>(P3,P9)</v>
      </c>
      <c r="I29" s="54" t="str">
        <f>IFERROR(__xludf.DUMMYFUNCTION("concatenate(ARRAYFORMULA(""P"" &amp; SPLIT(J29, "","") &amp; "",""))"),"P3,P9,")</f>
        <v>P3,P9,</v>
      </c>
      <c r="J29" s="54" t="str">
        <f>IFERROR(__xludf.DUMMYFUNCTION("ArrayFormula(textjoin("", "",true,unique(trim(split(M29,"","")),true)))"),"3, 9")</f>
        <v>3, 9</v>
      </c>
      <c r="K29" s="65" t="s">
        <v>3266</v>
      </c>
      <c r="L29" s="65" t="s">
        <v>3559</v>
      </c>
      <c r="M29" s="54" t="str">
        <f t="shared" si="2"/>
        <v>03, 09</v>
      </c>
      <c r="N29" s="71">
        <f>IFERROR(__xludf.DUMMYFUNCTION("countunique(split(M29, "", ""))"),2.0)</f>
        <v>2</v>
      </c>
      <c r="O29" s="71">
        <f>IFERROR(__xludf.DUMMYFUNCTION("countif(split(K29,"",""),C29)"),0.0)</f>
        <v>0</v>
      </c>
      <c r="P29" s="55" t="b">
        <f>IFERROR(__xludf.DUMMYFUNCTION("MIN(split(J29,"",""))&lt;=7"),TRUE)</f>
        <v>1</v>
      </c>
      <c r="Q29" s="55" t="b">
        <f>IFERROR(__xludf.DUMMYFUNCTION("max(split(J29,"",""))&gt;=8"),TRUE)</f>
        <v>1</v>
      </c>
      <c r="R29" s="55" t="b">
        <f t="shared" si="3"/>
        <v>1</v>
      </c>
      <c r="S29" s="76"/>
    </row>
    <row r="30">
      <c r="A30" s="65" t="s">
        <v>2884</v>
      </c>
      <c r="B30" s="42">
        <v>33.0</v>
      </c>
      <c r="C30" s="48" t="s">
        <v>3235</v>
      </c>
      <c r="D30" s="2" t="s">
        <v>19</v>
      </c>
      <c r="E30" s="70" t="s">
        <v>3414</v>
      </c>
      <c r="F30" s="42" t="s">
        <v>3908</v>
      </c>
      <c r="G30" s="2" t="s">
        <v>3909</v>
      </c>
      <c r="H30" s="54" t="str">
        <f t="shared" si="1"/>
        <v>(P3,P12)</v>
      </c>
      <c r="I30" s="54" t="str">
        <f>IFERROR(__xludf.DUMMYFUNCTION("concatenate(ARRAYFORMULA(""P"" &amp; SPLIT(J30, "","") &amp; "",""))"),"P3,P12,")</f>
        <v>P3,P12,</v>
      </c>
      <c r="J30" s="54" t="str">
        <f>IFERROR(__xludf.DUMMYFUNCTION("ArrayFormula(textjoin("", "",true,unique(trim(split(M30,"","")),true)))"),"3, 12")</f>
        <v>3, 12</v>
      </c>
      <c r="K30" s="65" t="s">
        <v>3910</v>
      </c>
      <c r="L30" s="65" t="s">
        <v>3911</v>
      </c>
      <c r="M30" s="54" t="str">
        <f t="shared" si="2"/>
        <v>03, 03,12,12</v>
      </c>
      <c r="N30" s="71">
        <f>IFERROR(__xludf.DUMMYFUNCTION("countunique(split(M30, "", ""))"),2.0)</f>
        <v>2</v>
      </c>
      <c r="O30" s="71">
        <f>IFERROR(__xludf.DUMMYFUNCTION("countif(split(K30,"",""),C30)"),1.0)</f>
        <v>1</v>
      </c>
      <c r="P30" s="55" t="b">
        <f>IFERROR(__xludf.DUMMYFUNCTION("MIN(split(J30,"",""))&lt;=7"),TRUE)</f>
        <v>1</v>
      </c>
      <c r="Q30" s="55" t="b">
        <f>IFERROR(__xludf.DUMMYFUNCTION("max(split(J30,"",""))&gt;=8"),TRUE)</f>
        <v>1</v>
      </c>
      <c r="R30" s="55" t="b">
        <f t="shared" si="3"/>
        <v>1</v>
      </c>
      <c r="S30" s="2"/>
    </row>
    <row r="31">
      <c r="A31" s="65" t="s">
        <v>2886</v>
      </c>
      <c r="B31" s="2">
        <v>34.0</v>
      </c>
      <c r="C31" s="48" t="s">
        <v>3235</v>
      </c>
      <c r="D31" s="42" t="s">
        <v>19</v>
      </c>
      <c r="E31" s="75" t="s">
        <v>3415</v>
      </c>
      <c r="F31" s="42" t="s">
        <v>2066</v>
      </c>
      <c r="G31" s="42"/>
      <c r="H31" s="54" t="str">
        <f t="shared" si="1"/>
        <v>(P3)</v>
      </c>
      <c r="I31" s="54" t="str">
        <f>IFERROR(__xludf.DUMMYFUNCTION("concatenate(ARRAYFORMULA(""P"" &amp; SPLIT(J31, "","") &amp; "",""))"),"P3,")</f>
        <v>P3,</v>
      </c>
      <c r="J31" s="54" t="str">
        <f>IFERROR(__xludf.DUMMYFUNCTION("ArrayFormula(textjoin("", "",true,unique(trim(split(M31,"","")),true)))"),"3")</f>
        <v>3</v>
      </c>
      <c r="K31" s="65"/>
      <c r="L31" s="65"/>
      <c r="M31" s="54" t="str">
        <f t="shared" si="2"/>
        <v>03</v>
      </c>
      <c r="N31" s="71">
        <f>IFERROR(__xludf.DUMMYFUNCTION("countunique(split(M31, "", ""))"),1.0)</f>
        <v>1</v>
      </c>
      <c r="O31" s="71">
        <f>IFERROR(__xludf.DUMMYFUNCTION("countif(split(K31,"",""),C31)"),0.0)</f>
        <v>0</v>
      </c>
      <c r="P31" s="55" t="b">
        <f>IFERROR(__xludf.DUMMYFUNCTION("MIN(split(J31,"",""))&lt;=7"),TRUE)</f>
        <v>1</v>
      </c>
      <c r="Q31" s="55" t="b">
        <f>IFERROR(__xludf.DUMMYFUNCTION("max(split(J31,"",""))&gt;=8"),FALSE)</f>
        <v>0</v>
      </c>
      <c r="R31" s="55" t="b">
        <f t="shared" si="3"/>
        <v>0</v>
      </c>
      <c r="S31" s="42"/>
    </row>
    <row r="32">
      <c r="A32" s="65" t="s">
        <v>2888</v>
      </c>
      <c r="B32" s="42">
        <v>35.0</v>
      </c>
      <c r="C32" s="48" t="s">
        <v>3235</v>
      </c>
      <c r="D32" s="2" t="s">
        <v>19</v>
      </c>
      <c r="E32" s="70" t="s">
        <v>3912</v>
      </c>
      <c r="F32" s="42" t="s">
        <v>3913</v>
      </c>
      <c r="G32" s="2" t="s">
        <v>3914</v>
      </c>
      <c r="H32" s="54" t="str">
        <f t="shared" si="1"/>
        <v>(P3)</v>
      </c>
      <c r="I32" s="54" t="str">
        <f>IFERROR(__xludf.DUMMYFUNCTION("concatenate(ARRAYFORMULA(""P"" &amp; SPLIT(J32, "","") &amp; "",""))"),"P3,")</f>
        <v>P3,</v>
      </c>
      <c r="J32" s="54" t="str">
        <f>IFERROR(__xludf.DUMMYFUNCTION("ArrayFormula(textjoin("", "",true,unique(trim(split(M32,"","")),true)))"),"3")</f>
        <v>3</v>
      </c>
      <c r="K32" s="65" t="s">
        <v>3235</v>
      </c>
      <c r="L32" s="65" t="s">
        <v>2876</v>
      </c>
      <c r="M32" s="54" t="str">
        <f t="shared" si="2"/>
        <v>03, 03</v>
      </c>
      <c r="N32" s="71">
        <f>IFERROR(__xludf.DUMMYFUNCTION("countunique(split(M32, "", ""))"),1.0)</f>
        <v>1</v>
      </c>
      <c r="O32" s="71">
        <f>IFERROR(__xludf.DUMMYFUNCTION("countif(split(K32,"",""),C32)"),1.0)</f>
        <v>1</v>
      </c>
      <c r="P32" s="55" t="b">
        <f>IFERROR(__xludf.DUMMYFUNCTION("MIN(split(J32,"",""))&lt;=7"),TRUE)</f>
        <v>1</v>
      </c>
      <c r="Q32" s="55" t="b">
        <f>IFERROR(__xludf.DUMMYFUNCTION("max(split(J32,"",""))&gt;=8"),FALSE)</f>
        <v>0</v>
      </c>
      <c r="R32" s="55" t="b">
        <f t="shared" si="3"/>
        <v>0</v>
      </c>
      <c r="S32" s="2"/>
    </row>
    <row r="33">
      <c r="A33" s="65" t="s">
        <v>2932</v>
      </c>
      <c r="B33" s="2">
        <v>36.0</v>
      </c>
      <c r="C33" s="48" t="s">
        <v>3246</v>
      </c>
      <c r="D33" s="2" t="s">
        <v>19</v>
      </c>
      <c r="E33" s="70" t="s">
        <v>3915</v>
      </c>
      <c r="F33" s="2" t="s">
        <v>3916</v>
      </c>
      <c r="G33" s="2" t="s">
        <v>3917</v>
      </c>
      <c r="H33" s="54" t="str">
        <f t="shared" si="1"/>
        <v>(P4,P7,P8,P9,P12,P14)</v>
      </c>
      <c r="I33" s="54" t="str">
        <f>IFERROR(__xludf.DUMMYFUNCTION("concatenate(ARRAYFORMULA(""P"" &amp; SPLIT(J33, "","") &amp; "",""))"),"P4,P7,P8,P9,P12,P14,")</f>
        <v>P4,P7,P8,P9,P12,P14,</v>
      </c>
      <c r="J33" s="54" t="str">
        <f>IFERROR(__xludf.DUMMYFUNCTION("ArrayFormula(textjoin("", "",true,unique(trim(split(M33,"","")),true)))"),"4, 7, 8, 9, 12, 14")</f>
        <v>4, 7, 8, 9, 12, 14</v>
      </c>
      <c r="K33" s="65" t="s">
        <v>3918</v>
      </c>
      <c r="L33" s="65" t="s">
        <v>3919</v>
      </c>
      <c r="M33" s="54" t="str">
        <f t="shared" si="2"/>
        <v>04, 07, 08, 09, 12, 14</v>
      </c>
      <c r="N33" s="71">
        <f>IFERROR(__xludf.DUMMYFUNCTION("countunique(split(M33, "", ""))"),6.0)</f>
        <v>6</v>
      </c>
      <c r="O33" s="71"/>
      <c r="P33" s="55" t="b">
        <f>IFERROR(__xludf.DUMMYFUNCTION("MIN(split(J33,"",""))&lt;=7"),TRUE)</f>
        <v>1</v>
      </c>
      <c r="Q33" s="55" t="b">
        <f>IFERROR(__xludf.DUMMYFUNCTION("max(split(J33,"",""))&gt;=8"),TRUE)</f>
        <v>1</v>
      </c>
      <c r="R33" s="55" t="b">
        <f t="shared" si="3"/>
        <v>1</v>
      </c>
      <c r="S33" s="2"/>
    </row>
    <row r="34">
      <c r="A34" s="65" t="s">
        <v>2892</v>
      </c>
      <c r="B34" s="42">
        <v>37.0</v>
      </c>
      <c r="C34" s="48" t="s">
        <v>3235</v>
      </c>
      <c r="D34" s="2" t="s">
        <v>19</v>
      </c>
      <c r="E34" s="70" t="s">
        <v>3920</v>
      </c>
      <c r="F34" s="42" t="s">
        <v>3921</v>
      </c>
      <c r="G34" s="2" t="s">
        <v>2596</v>
      </c>
      <c r="H34" s="54" t="str">
        <f t="shared" si="1"/>
        <v>(P3,P4,P11)</v>
      </c>
      <c r="I34" s="54" t="str">
        <f>IFERROR(__xludf.DUMMYFUNCTION("concatenate(ARRAYFORMULA(""P"" &amp; SPLIT(J34, "","") &amp; "",""))"),"P3,P4,P11,")</f>
        <v>P3,P4,P11,</v>
      </c>
      <c r="J34" s="54" t="str">
        <f>IFERROR(__xludf.DUMMYFUNCTION("ArrayFormula(textjoin("", "",true,unique(trim(split(M34,"","")),true)))"),"3, 4, 11")</f>
        <v>3, 4, 11</v>
      </c>
      <c r="K34" s="65" t="s">
        <v>3922</v>
      </c>
      <c r="L34" s="77" t="s">
        <v>3923</v>
      </c>
      <c r="M34" s="54" t="str">
        <f t="shared" si="2"/>
        <v>03, 04, 04, 11</v>
      </c>
      <c r="N34" s="71">
        <f>IFERROR(__xludf.DUMMYFUNCTION("countunique(split(M34, "", ""))"),3.0)</f>
        <v>3</v>
      </c>
      <c r="O34" s="71">
        <f>IFERROR(__xludf.DUMMYFUNCTION("countif(split(K34,"",""),C34)"),0.0)</f>
        <v>0</v>
      </c>
      <c r="P34" s="55" t="b">
        <f>IFERROR(__xludf.DUMMYFUNCTION("MIN(split(J34,"",""))&lt;=7"),TRUE)</f>
        <v>1</v>
      </c>
      <c r="Q34" s="55" t="b">
        <f>IFERROR(__xludf.DUMMYFUNCTION("max(split(J34,"",""))&gt;=8"),TRUE)</f>
        <v>1</v>
      </c>
      <c r="R34" s="55" t="b">
        <f t="shared" si="3"/>
        <v>1</v>
      </c>
      <c r="S34" s="2"/>
    </row>
    <row r="35">
      <c r="A35" s="65" t="s">
        <v>2898</v>
      </c>
      <c r="B35" s="2">
        <v>38.0</v>
      </c>
      <c r="C35" s="48" t="s">
        <v>3235</v>
      </c>
      <c r="D35" s="2" t="s">
        <v>19</v>
      </c>
      <c r="E35" s="70" t="s">
        <v>3924</v>
      </c>
      <c r="F35" s="42" t="s">
        <v>2084</v>
      </c>
      <c r="G35" s="2"/>
      <c r="H35" s="54" t="str">
        <f t="shared" si="1"/>
        <v>(P3)</v>
      </c>
      <c r="I35" s="54" t="str">
        <f>IFERROR(__xludf.DUMMYFUNCTION("concatenate(ARRAYFORMULA(""P"" &amp; SPLIT(J35, "","") &amp; "",""))"),"P3,")</f>
        <v>P3,</v>
      </c>
      <c r="J35" s="54" t="str">
        <f>IFERROR(__xludf.DUMMYFUNCTION("ArrayFormula(textjoin("", "",true,unique(trim(split(M35,"","")),true)))"),"3")</f>
        <v>3</v>
      </c>
      <c r="K35" s="65"/>
      <c r="L35" s="65"/>
      <c r="M35" s="54" t="str">
        <f t="shared" si="2"/>
        <v>03</v>
      </c>
      <c r="N35" s="71">
        <f>IFERROR(__xludf.DUMMYFUNCTION("countunique(split(M35, "", ""))"),1.0)</f>
        <v>1</v>
      </c>
      <c r="O35" s="71">
        <f>IFERROR(__xludf.DUMMYFUNCTION("countif(split(K35,"",""),C35)"),0.0)</f>
        <v>0</v>
      </c>
      <c r="P35" s="55" t="b">
        <f>IFERROR(__xludf.DUMMYFUNCTION("MIN(split(J35,"",""))&lt;=7"),TRUE)</f>
        <v>1</v>
      </c>
      <c r="Q35" s="55" t="b">
        <f>IFERROR(__xludf.DUMMYFUNCTION("max(split(J35,"",""))&gt;=8"),FALSE)</f>
        <v>0</v>
      </c>
      <c r="R35" s="55" t="b">
        <f t="shared" si="3"/>
        <v>0</v>
      </c>
      <c r="S35" s="2"/>
    </row>
    <row r="36">
      <c r="A36" s="65" t="s">
        <v>2904</v>
      </c>
      <c r="B36" s="42">
        <v>39.0</v>
      </c>
      <c r="C36" s="48" t="s">
        <v>3235</v>
      </c>
      <c r="D36" s="2" t="s">
        <v>19</v>
      </c>
      <c r="E36" s="70" t="s">
        <v>3424</v>
      </c>
      <c r="F36" s="42" t="s">
        <v>2092</v>
      </c>
      <c r="G36" s="2"/>
      <c r="H36" s="54" t="str">
        <f t="shared" si="1"/>
        <v>(P3)</v>
      </c>
      <c r="I36" s="54" t="str">
        <f>IFERROR(__xludf.DUMMYFUNCTION("concatenate(ARRAYFORMULA(""P"" &amp; SPLIT(J36, "","") &amp; "",""))"),"P3,")</f>
        <v>P3,</v>
      </c>
      <c r="J36" s="54" t="str">
        <f>IFERROR(__xludf.DUMMYFUNCTION("ArrayFormula(textjoin("", "",true,unique(trim(split(M36,"","")),true)))"),"3")</f>
        <v>3</v>
      </c>
      <c r="K36" s="65"/>
      <c r="L36" s="65"/>
      <c r="M36" s="54" t="str">
        <f t="shared" si="2"/>
        <v>03</v>
      </c>
      <c r="N36" s="71">
        <f>IFERROR(__xludf.DUMMYFUNCTION("countunique(split(M36, "", ""))"),1.0)</f>
        <v>1</v>
      </c>
      <c r="O36" s="71">
        <f>IFERROR(__xludf.DUMMYFUNCTION("countif(split(K36,"",""),C36)"),0.0)</f>
        <v>0</v>
      </c>
      <c r="P36" s="55" t="b">
        <f>IFERROR(__xludf.DUMMYFUNCTION("MIN(split(J36,"",""))&lt;=7"),TRUE)</f>
        <v>1</v>
      </c>
      <c r="Q36" s="55" t="b">
        <f>IFERROR(__xludf.DUMMYFUNCTION("max(split(J36,"",""))&gt;=8"),FALSE)</f>
        <v>0</v>
      </c>
      <c r="R36" s="55" t="b">
        <f t="shared" si="3"/>
        <v>0</v>
      </c>
      <c r="S36" s="78" t="s">
        <v>3925</v>
      </c>
    </row>
    <row r="37">
      <c r="A37" s="65" t="s">
        <v>2906</v>
      </c>
      <c r="B37" s="2">
        <v>40.0</v>
      </c>
      <c r="C37" s="48" t="s">
        <v>3235</v>
      </c>
      <c r="D37" s="2" t="s">
        <v>19</v>
      </c>
      <c r="E37" s="70" t="s">
        <v>3425</v>
      </c>
      <c r="F37" s="42" t="s">
        <v>2097</v>
      </c>
      <c r="G37" s="2"/>
      <c r="H37" s="54" t="str">
        <f t="shared" si="1"/>
        <v>(P3)</v>
      </c>
      <c r="I37" s="54" t="str">
        <f>IFERROR(__xludf.DUMMYFUNCTION("concatenate(ARRAYFORMULA(""P"" &amp; SPLIT(J37, "","") &amp; "",""))"),"P3,")</f>
        <v>P3,</v>
      </c>
      <c r="J37" s="54" t="str">
        <f>IFERROR(__xludf.DUMMYFUNCTION("ArrayFormula(textjoin("", "",true,unique(trim(split(M37,"","")),true)))"),"3")</f>
        <v>3</v>
      </c>
      <c r="K37" s="65"/>
      <c r="L37" s="65"/>
      <c r="M37" s="54" t="str">
        <f t="shared" si="2"/>
        <v>03</v>
      </c>
      <c r="N37" s="71">
        <f>IFERROR(__xludf.DUMMYFUNCTION("countunique(split(M37, "", ""))"),1.0)</f>
        <v>1</v>
      </c>
      <c r="O37" s="71">
        <f>IFERROR(__xludf.DUMMYFUNCTION("countif(split(K37,"",""),C37)"),0.0)</f>
        <v>0</v>
      </c>
      <c r="P37" s="55" t="b">
        <f>IFERROR(__xludf.DUMMYFUNCTION("MIN(split(J37,"",""))&lt;=7"),TRUE)</f>
        <v>1</v>
      </c>
      <c r="Q37" s="55" t="b">
        <f>IFERROR(__xludf.DUMMYFUNCTION("max(split(J37,"",""))&gt;=8"),FALSE)</f>
        <v>0</v>
      </c>
      <c r="R37" s="55" t="b">
        <f t="shared" si="3"/>
        <v>0</v>
      </c>
      <c r="S37" s="2"/>
    </row>
    <row r="38">
      <c r="A38" s="65" t="s">
        <v>2908</v>
      </c>
      <c r="B38" s="42">
        <v>41.0</v>
      </c>
      <c r="C38" s="48" t="s">
        <v>3235</v>
      </c>
      <c r="D38" s="2" t="s">
        <v>19</v>
      </c>
      <c r="E38" s="70" t="s">
        <v>3926</v>
      </c>
      <c r="F38" s="42" t="s">
        <v>3927</v>
      </c>
      <c r="G38" s="2" t="s">
        <v>3928</v>
      </c>
      <c r="H38" s="54" t="str">
        <f t="shared" si="1"/>
        <v>(P3,P4,P8,P12)</v>
      </c>
      <c r="I38" s="54" t="str">
        <f>IFERROR(__xludf.DUMMYFUNCTION("concatenate(ARRAYFORMULA(""P"" &amp; SPLIT(J38, "","") &amp; "",""))"),"P3,P4,P8,P12,")</f>
        <v>P3,P4,P8,P12,</v>
      </c>
      <c r="J38" s="54" t="str">
        <f>IFERROR(__xludf.DUMMYFUNCTION("ArrayFormula(textjoin("", "",true,unique(trim(split(M38,"","")),true)))"),"3, 4, 8, 12")</f>
        <v>3, 4, 8, 12</v>
      </c>
      <c r="K38" s="65" t="s">
        <v>3929</v>
      </c>
      <c r="L38" s="65" t="s">
        <v>3930</v>
      </c>
      <c r="M38" s="54" t="str">
        <f t="shared" si="2"/>
        <v>03, 03, 04, 08, 08, 12</v>
      </c>
      <c r="N38" s="71">
        <f>IFERROR(__xludf.DUMMYFUNCTION("countunique(split(M38, "", ""))"),4.0)</f>
        <v>4</v>
      </c>
      <c r="O38" s="71">
        <f>IFERROR(__xludf.DUMMYFUNCTION("countif(split(K38,"",""),C38)"),1.0)</f>
        <v>1</v>
      </c>
      <c r="P38" s="55" t="b">
        <f>IFERROR(__xludf.DUMMYFUNCTION("MIN(split(J38,"",""))&lt;=7"),TRUE)</f>
        <v>1</v>
      </c>
      <c r="Q38" s="55" t="b">
        <f>IFERROR(__xludf.DUMMYFUNCTION("max(split(J38,"",""))&gt;=8"),TRUE)</f>
        <v>1</v>
      </c>
      <c r="R38" s="55" t="b">
        <f t="shared" si="3"/>
        <v>1</v>
      </c>
      <c r="S38" s="2"/>
    </row>
    <row r="39">
      <c r="A39" s="65" t="s">
        <v>2914</v>
      </c>
      <c r="B39" s="42">
        <v>43.0</v>
      </c>
      <c r="C39" s="69" t="s">
        <v>3246</v>
      </c>
      <c r="D39" s="2" t="s">
        <v>19</v>
      </c>
      <c r="E39" s="70" t="s">
        <v>3931</v>
      </c>
      <c r="F39" s="42" t="s">
        <v>3932</v>
      </c>
      <c r="G39" s="2" t="s">
        <v>3933</v>
      </c>
      <c r="H39" s="54" t="str">
        <f t="shared" si="1"/>
        <v>(P4,P8)</v>
      </c>
      <c r="I39" s="54" t="str">
        <f>IFERROR(__xludf.DUMMYFUNCTION("concatenate(ARRAYFORMULA(""P"" &amp; SPLIT(J39, "","") &amp; "",""))"),"P4,P8,")</f>
        <v>P4,P8,</v>
      </c>
      <c r="J39" s="54" t="str">
        <f>IFERROR(__xludf.DUMMYFUNCTION("ArrayFormula(textjoin("", "",true,unique(trim(split(M39,"","")),true)))"),"4, 8")</f>
        <v>4, 8</v>
      </c>
      <c r="K39" s="65" t="s">
        <v>3329</v>
      </c>
      <c r="L39" s="65" t="s">
        <v>3093</v>
      </c>
      <c r="M39" s="54" t="str">
        <f t="shared" si="2"/>
        <v>04, 08</v>
      </c>
      <c r="N39" s="71">
        <f>IFERROR(__xludf.DUMMYFUNCTION("countunique(split(M39, "", ""))"),2.0)</f>
        <v>2</v>
      </c>
      <c r="O39" s="71">
        <f>IFERROR(__xludf.DUMMYFUNCTION("countif(split(K39,"",""),C39)"),0.0)</f>
        <v>0</v>
      </c>
      <c r="P39" s="55" t="b">
        <f>IFERROR(__xludf.DUMMYFUNCTION("MIN(split(J39,"",""))&lt;=7"),TRUE)</f>
        <v>1</v>
      </c>
      <c r="Q39" s="55" t="b">
        <f>IFERROR(__xludf.DUMMYFUNCTION("max(split(J39,"",""))&gt;=8"),TRUE)</f>
        <v>1</v>
      </c>
      <c r="R39" s="55" t="b">
        <f t="shared" si="3"/>
        <v>1</v>
      </c>
      <c r="S39" s="2"/>
    </row>
    <row r="40">
      <c r="A40" s="65" t="s">
        <v>2920</v>
      </c>
      <c r="B40" s="2">
        <v>44.0</v>
      </c>
      <c r="C40" s="48" t="s">
        <v>3246</v>
      </c>
      <c r="D40" s="2" t="s">
        <v>19</v>
      </c>
      <c r="E40" s="70" t="s">
        <v>3432</v>
      </c>
      <c r="F40" s="42" t="s">
        <v>2129</v>
      </c>
      <c r="G40" s="2"/>
      <c r="H40" s="54" t="str">
        <f t="shared" si="1"/>
        <v>(P4)</v>
      </c>
      <c r="I40" s="54" t="str">
        <f>IFERROR(__xludf.DUMMYFUNCTION("concatenate(ARRAYFORMULA(""P"" &amp; SPLIT(J40, "","") &amp; "",""))"),"P4,")</f>
        <v>P4,</v>
      </c>
      <c r="J40" s="54" t="str">
        <f>IFERROR(__xludf.DUMMYFUNCTION("ArrayFormula(textjoin("", "",true,unique(trim(split(M40,"","")),true)))"),"4")</f>
        <v>4</v>
      </c>
      <c r="K40" s="65"/>
      <c r="L40" s="65"/>
      <c r="M40" s="54" t="str">
        <f t="shared" si="2"/>
        <v>04</v>
      </c>
      <c r="N40" s="71">
        <f>IFERROR(__xludf.DUMMYFUNCTION("countunique(split(M40, "", ""))"),1.0)</f>
        <v>1</v>
      </c>
      <c r="O40" s="71">
        <f>IFERROR(__xludf.DUMMYFUNCTION("countif(split(K40,"",""),C40)"),0.0)</f>
        <v>0</v>
      </c>
      <c r="P40" s="55" t="b">
        <f>IFERROR(__xludf.DUMMYFUNCTION("MIN(split(J40,"",""))&lt;=7"),TRUE)</f>
        <v>1</v>
      </c>
      <c r="Q40" s="55" t="b">
        <f>IFERROR(__xludf.DUMMYFUNCTION("max(split(J40,"",""))&gt;=8"),FALSE)</f>
        <v>0</v>
      </c>
      <c r="R40" s="55" t="b">
        <f t="shared" si="3"/>
        <v>0</v>
      </c>
      <c r="S40" s="2"/>
    </row>
    <row r="41">
      <c r="A41" s="65" t="s">
        <v>3378</v>
      </c>
      <c r="B41" s="42">
        <v>45.0</v>
      </c>
      <c r="C41" s="48" t="s">
        <v>3934</v>
      </c>
      <c r="D41" s="2" t="s">
        <v>19</v>
      </c>
      <c r="E41" s="70" t="s">
        <v>3935</v>
      </c>
      <c r="F41" s="42" t="s">
        <v>3936</v>
      </c>
      <c r="G41" s="2" t="s">
        <v>3937</v>
      </c>
      <c r="H41" s="54" t="str">
        <f t="shared" si="1"/>
        <v>(P1,P4)</v>
      </c>
      <c r="I41" s="54" t="str">
        <f>IFERROR(__xludf.DUMMYFUNCTION("concatenate(ARRAYFORMULA(""P"" &amp; SPLIT(J41, "","") &amp; "",""))"),"P1,P4,")</f>
        <v>P1,P4,</v>
      </c>
      <c r="J41" s="54" t="str">
        <f>IFERROR(__xludf.DUMMYFUNCTION("ArrayFormula(textjoin("", "",true,unique(trim(split(M41,"","")),true)))"),"1, 4")</f>
        <v>1, 4</v>
      </c>
      <c r="K41" s="65" t="s">
        <v>3246</v>
      </c>
      <c r="L41" s="65" t="s">
        <v>2922</v>
      </c>
      <c r="M41" s="54" t="str">
        <f t="shared" si="2"/>
        <v>1, 04</v>
      </c>
      <c r="N41" s="71">
        <f>IFERROR(__xludf.DUMMYFUNCTION("countunique(split(M41, "", ""))"),2.0)</f>
        <v>2</v>
      </c>
      <c r="O41" s="71">
        <f>IFERROR(__xludf.DUMMYFUNCTION("countif(split(K41,"",""),C41)"),0.0)</f>
        <v>0</v>
      </c>
      <c r="P41" s="55" t="b">
        <f>IFERROR(__xludf.DUMMYFUNCTION("MIN(split(J41,"",""))&lt;=7"),TRUE)</f>
        <v>1</v>
      </c>
      <c r="Q41" s="55" t="b">
        <f>IFERROR(__xludf.DUMMYFUNCTION("max(split(J41,"",""))&gt;=8"),FALSE)</f>
        <v>0</v>
      </c>
      <c r="R41" s="55" t="b">
        <f t="shared" si="3"/>
        <v>0</v>
      </c>
      <c r="S41" s="42" t="s">
        <v>3938</v>
      </c>
    </row>
    <row r="42">
      <c r="A42" s="65" t="s">
        <v>2924</v>
      </c>
      <c r="B42" s="2">
        <v>46.0</v>
      </c>
      <c r="C42" s="48" t="s">
        <v>3246</v>
      </c>
      <c r="D42" s="2" t="s">
        <v>19</v>
      </c>
      <c r="E42" s="70" t="s">
        <v>3939</v>
      </c>
      <c r="F42" s="42" t="s">
        <v>3940</v>
      </c>
      <c r="G42" s="2" t="s">
        <v>3941</v>
      </c>
      <c r="H42" s="54" t="str">
        <f t="shared" si="1"/>
        <v>(P4)</v>
      </c>
      <c r="I42" s="54" t="str">
        <f>IFERROR(__xludf.DUMMYFUNCTION("concatenate(ARRAYFORMULA(""P"" &amp; SPLIT(J42, "","") &amp; "",""))"),"P4,")</f>
        <v>P4,</v>
      </c>
      <c r="J42" s="54" t="str">
        <f>IFERROR(__xludf.DUMMYFUNCTION("ArrayFormula(textjoin("", "",true,unique(trim(split(M42,"","")),true)))"),"4")</f>
        <v>4</v>
      </c>
      <c r="K42" s="65" t="s">
        <v>3942</v>
      </c>
      <c r="L42" s="65" t="s">
        <v>3943</v>
      </c>
      <c r="M42" s="54" t="str">
        <f t="shared" si="2"/>
        <v>04, 04,04</v>
      </c>
      <c r="N42" s="71">
        <f>IFERROR(__xludf.DUMMYFUNCTION("countunique(split(M42, "", ""))"),1.0)</f>
        <v>1</v>
      </c>
      <c r="O42" s="71">
        <f>IFERROR(__xludf.DUMMYFUNCTION("countif(split(K42,"",""),C42)"),2.0)</f>
        <v>2</v>
      </c>
      <c r="P42" s="55" t="b">
        <f>IFERROR(__xludf.DUMMYFUNCTION("MIN(split(J42,"",""))&lt;=7"),TRUE)</f>
        <v>1</v>
      </c>
      <c r="Q42" s="55" t="b">
        <f>IFERROR(__xludf.DUMMYFUNCTION("max(split(J42,"",""))&gt;=8"),FALSE)</f>
        <v>0</v>
      </c>
      <c r="R42" s="55" t="b">
        <f t="shared" si="3"/>
        <v>0</v>
      </c>
      <c r="S42" s="2"/>
    </row>
    <row r="43">
      <c r="A43" s="65" t="s">
        <v>2928</v>
      </c>
      <c r="B43" s="2">
        <v>48.0</v>
      </c>
      <c r="C43" s="48" t="s">
        <v>3246</v>
      </c>
      <c r="D43" s="2" t="s">
        <v>19</v>
      </c>
      <c r="E43" s="70" t="s">
        <v>3436</v>
      </c>
      <c r="F43" s="42" t="s">
        <v>2139</v>
      </c>
      <c r="G43" s="2"/>
      <c r="H43" s="54" t="str">
        <f t="shared" si="1"/>
        <v>(P4)</v>
      </c>
      <c r="I43" s="54" t="str">
        <f>IFERROR(__xludf.DUMMYFUNCTION("concatenate(ARRAYFORMULA(""P"" &amp; SPLIT(J43, "","") &amp; "",""))"),"P4,")</f>
        <v>P4,</v>
      </c>
      <c r="J43" s="54" t="str">
        <f>IFERROR(__xludf.DUMMYFUNCTION("ArrayFormula(textjoin("", "",true,unique(trim(split(M43,"","")),true)))"),"4")</f>
        <v>4</v>
      </c>
      <c r="K43" s="65"/>
      <c r="L43" s="65"/>
      <c r="M43" s="54" t="str">
        <f t="shared" si="2"/>
        <v>04</v>
      </c>
      <c r="N43" s="71">
        <f>IFERROR(__xludf.DUMMYFUNCTION("countunique(split(M43, "", ""))"),1.0)</f>
        <v>1</v>
      </c>
      <c r="O43" s="71">
        <f>IFERROR(__xludf.DUMMYFUNCTION("countif(split(K43,"",""),C43)"),0.0)</f>
        <v>0</v>
      </c>
      <c r="P43" s="55" t="b">
        <f>IFERROR(__xludf.DUMMYFUNCTION("MIN(split(J43,"",""))&lt;=7"),TRUE)</f>
        <v>1</v>
      </c>
      <c r="Q43" s="55" t="b">
        <f>IFERROR(__xludf.DUMMYFUNCTION("max(split(J43,"",""))&gt;=8"),FALSE)</f>
        <v>0</v>
      </c>
      <c r="R43" s="55" t="b">
        <f t="shared" si="3"/>
        <v>0</v>
      </c>
      <c r="S43" s="2"/>
    </row>
    <row r="44">
      <c r="A44" s="65" t="s">
        <v>2930</v>
      </c>
      <c r="B44" s="42">
        <v>49.0</v>
      </c>
      <c r="C44" s="48" t="s">
        <v>3246</v>
      </c>
      <c r="D44" s="2" t="s">
        <v>19</v>
      </c>
      <c r="E44" s="79" t="s">
        <v>3944</v>
      </c>
      <c r="F44" s="42" t="s">
        <v>3945</v>
      </c>
      <c r="G44" s="3" t="s">
        <v>3946</v>
      </c>
      <c r="H44" s="54" t="str">
        <f t="shared" si="1"/>
        <v>(P4,P5)</v>
      </c>
      <c r="I44" s="54" t="str">
        <f>IFERROR(__xludf.DUMMYFUNCTION("concatenate(ARRAYFORMULA(""P"" &amp; SPLIT(J44, "","") &amp; "",""))"),"P4,P5,")</f>
        <v>P4,P5,</v>
      </c>
      <c r="J44" s="54" t="str">
        <f>IFERROR(__xludf.DUMMYFUNCTION("ArrayFormula(textjoin("", "",true,unique(trim(split(M44,"","")),true)))"),"4, 5")</f>
        <v>4, 5</v>
      </c>
      <c r="K44" s="65" t="s">
        <v>3282</v>
      </c>
      <c r="L44" s="65" t="s">
        <v>2987</v>
      </c>
      <c r="M44" s="54" t="str">
        <f t="shared" si="2"/>
        <v>04, 05</v>
      </c>
      <c r="N44" s="71">
        <f>IFERROR(__xludf.DUMMYFUNCTION("countunique(split(M44, "", ""))"),2.0)</f>
        <v>2</v>
      </c>
      <c r="O44" s="71">
        <f>IFERROR(__xludf.DUMMYFUNCTION("countif(split(K44,"",""),C44)"),0.0)</f>
        <v>0</v>
      </c>
      <c r="P44" s="55" t="b">
        <f>IFERROR(__xludf.DUMMYFUNCTION("MIN(split(J44,"",""))&lt;=7"),TRUE)</f>
        <v>1</v>
      </c>
      <c r="Q44" s="55" t="b">
        <f>IFERROR(__xludf.DUMMYFUNCTION("max(split(J44,"",""))&gt;=8"),FALSE)</f>
        <v>0</v>
      </c>
      <c r="R44" s="55" t="b">
        <f t="shared" si="3"/>
        <v>0</v>
      </c>
      <c r="S44" s="46"/>
    </row>
    <row r="45">
      <c r="A45" s="65" t="s">
        <v>2934</v>
      </c>
      <c r="B45" s="42">
        <v>51.0</v>
      </c>
      <c r="C45" s="48" t="s">
        <v>3246</v>
      </c>
      <c r="D45" s="42" t="s">
        <v>19</v>
      </c>
      <c r="E45" s="75" t="s">
        <v>3439</v>
      </c>
      <c r="F45" s="42" t="s">
        <v>2145</v>
      </c>
      <c r="G45" s="42"/>
      <c r="H45" s="54" t="str">
        <f t="shared" si="1"/>
        <v>(P4)</v>
      </c>
      <c r="I45" s="54" t="str">
        <f>IFERROR(__xludf.DUMMYFUNCTION("concatenate(ARRAYFORMULA(""P"" &amp; SPLIT(J45, "","") &amp; "",""))"),"P4,")</f>
        <v>P4,</v>
      </c>
      <c r="J45" s="54" t="str">
        <f>IFERROR(__xludf.DUMMYFUNCTION("ArrayFormula(textjoin("", "",true,unique(trim(split(M45,"","")),true)))"),"4")</f>
        <v>4</v>
      </c>
      <c r="K45" s="65"/>
      <c r="L45" s="65"/>
      <c r="M45" s="54" t="str">
        <f t="shared" si="2"/>
        <v>04</v>
      </c>
      <c r="N45" s="71">
        <f>IFERROR(__xludf.DUMMYFUNCTION("countunique(split(M45, "", ""))"),1.0)</f>
        <v>1</v>
      </c>
      <c r="O45" s="71">
        <f>IFERROR(__xludf.DUMMYFUNCTION("countif(split(K45,"",""),C45)"),0.0)</f>
        <v>0</v>
      </c>
      <c r="P45" s="55" t="b">
        <f>IFERROR(__xludf.DUMMYFUNCTION("MIN(split(J45,"",""))&lt;=7"),TRUE)</f>
        <v>1</v>
      </c>
      <c r="Q45" s="55" t="b">
        <f>IFERROR(__xludf.DUMMYFUNCTION("max(split(J45,"",""))&gt;=8"),FALSE)</f>
        <v>0</v>
      </c>
      <c r="R45" s="55" t="b">
        <f t="shared" si="3"/>
        <v>0</v>
      </c>
      <c r="S45" s="42"/>
    </row>
    <row r="46">
      <c r="A46" s="65" t="s">
        <v>2936</v>
      </c>
      <c r="B46" s="2">
        <v>52.0</v>
      </c>
      <c r="C46" s="48" t="s">
        <v>3246</v>
      </c>
      <c r="D46" s="2" t="s">
        <v>19</v>
      </c>
      <c r="E46" s="70" t="s">
        <v>3947</v>
      </c>
      <c r="F46" s="2" t="s">
        <v>3948</v>
      </c>
      <c r="G46" s="2" t="s">
        <v>3949</v>
      </c>
      <c r="H46" s="54" t="str">
        <f t="shared" si="1"/>
        <v>(P4,P10,P12)</v>
      </c>
      <c r="I46" s="54" t="str">
        <f>IFERROR(__xludf.DUMMYFUNCTION("concatenate(ARRAYFORMULA(""P"" &amp; SPLIT(J46, "","") &amp; "",""))"),"P4,P10,P12,")</f>
        <v>P4,P10,P12,</v>
      </c>
      <c r="J46" s="54" t="str">
        <f>IFERROR(__xludf.DUMMYFUNCTION("ArrayFormula(textjoin("", "",true,unique(trim(split(M46,"","")),true)))"),"4, 10, 12")</f>
        <v>4, 10, 12</v>
      </c>
      <c r="K46" s="65" t="s">
        <v>3950</v>
      </c>
      <c r="L46" s="65" t="s">
        <v>3951</v>
      </c>
      <c r="M46" s="54" t="str">
        <f t="shared" si="2"/>
        <v>04, 10, 12</v>
      </c>
      <c r="N46" s="71">
        <f>IFERROR(__xludf.DUMMYFUNCTION("countunique(split(M46, "", ""))"),3.0)</f>
        <v>3</v>
      </c>
      <c r="O46" s="71">
        <f>IFERROR(__xludf.DUMMYFUNCTION("countif(split(K46,"",""),C46)"),0.0)</f>
        <v>0</v>
      </c>
      <c r="P46" s="55" t="b">
        <f>IFERROR(__xludf.DUMMYFUNCTION("MIN(split(J46,"",""))&lt;=7"),TRUE)</f>
        <v>1</v>
      </c>
      <c r="Q46" s="55" t="b">
        <f>IFERROR(__xludf.DUMMYFUNCTION("max(split(J46,"",""))&gt;=8"),TRUE)</f>
        <v>1</v>
      </c>
      <c r="R46" s="55" t="b">
        <f t="shared" si="3"/>
        <v>1</v>
      </c>
      <c r="S46" s="2"/>
    </row>
    <row r="47">
      <c r="A47" s="65" t="s">
        <v>2938</v>
      </c>
      <c r="B47" s="42">
        <v>53.0</v>
      </c>
      <c r="C47" s="48" t="s">
        <v>3246</v>
      </c>
      <c r="D47" s="2" t="s">
        <v>19</v>
      </c>
      <c r="E47" s="70" t="s">
        <v>3952</v>
      </c>
      <c r="F47" s="42" t="s">
        <v>3953</v>
      </c>
      <c r="G47" s="2" t="s">
        <v>3954</v>
      </c>
      <c r="H47" s="54" t="str">
        <f t="shared" si="1"/>
        <v>(P4,P11)</v>
      </c>
      <c r="I47" s="54" t="str">
        <f>IFERROR(__xludf.DUMMYFUNCTION("concatenate(ARRAYFORMULA(""P"" &amp; SPLIT(J47, "","") &amp; "",""))"),"P4,P11,")</f>
        <v>P4,P11,</v>
      </c>
      <c r="J47" s="54" t="str">
        <f>IFERROR(__xludf.DUMMYFUNCTION("ArrayFormula(textjoin("", "",true,unique(trim(split(M47,"","")),true)))"),"4, 11")</f>
        <v>4, 11</v>
      </c>
      <c r="K47" s="65" t="s">
        <v>3312</v>
      </c>
      <c r="L47" s="65" t="s">
        <v>3643</v>
      </c>
      <c r="M47" s="54" t="str">
        <f t="shared" si="2"/>
        <v>04, 11</v>
      </c>
      <c r="N47" s="71">
        <f>IFERROR(__xludf.DUMMYFUNCTION("countunique(split(M47, "", ""))"),2.0)</f>
        <v>2</v>
      </c>
      <c r="O47" s="71">
        <f>IFERROR(__xludf.DUMMYFUNCTION("countif(split(K47,"",""),C47)"),0.0)</f>
        <v>0</v>
      </c>
      <c r="P47" s="55" t="b">
        <f>IFERROR(__xludf.DUMMYFUNCTION("MIN(split(J47,"",""))&lt;=7"),TRUE)</f>
        <v>1</v>
      </c>
      <c r="Q47" s="55" t="b">
        <f>IFERROR(__xludf.DUMMYFUNCTION("max(split(J47,"",""))&gt;=8"),TRUE)</f>
        <v>1</v>
      </c>
      <c r="R47" s="55" t="b">
        <f t="shared" si="3"/>
        <v>1</v>
      </c>
      <c r="S47" s="2"/>
    </row>
    <row r="48">
      <c r="A48" s="65" t="s">
        <v>2942</v>
      </c>
      <c r="B48" s="2">
        <v>54.0</v>
      </c>
      <c r="C48" s="48" t="s">
        <v>3246</v>
      </c>
      <c r="D48" s="2" t="s">
        <v>19</v>
      </c>
      <c r="E48" s="70" t="s">
        <v>3443</v>
      </c>
      <c r="F48" s="42" t="s">
        <v>2152</v>
      </c>
      <c r="G48" s="2"/>
      <c r="H48" s="54" t="str">
        <f t="shared" si="1"/>
        <v>(P4)</v>
      </c>
      <c r="I48" s="54" t="str">
        <f>IFERROR(__xludf.DUMMYFUNCTION("concatenate(ARRAYFORMULA(""P"" &amp; SPLIT(J48, "","") &amp; "",""))"),"P4,")</f>
        <v>P4,</v>
      </c>
      <c r="J48" s="54" t="str">
        <f>IFERROR(__xludf.DUMMYFUNCTION("ArrayFormula(textjoin("", "",true,unique(trim(split(M48,"","")),true)))"),"4")</f>
        <v>4</v>
      </c>
      <c r="K48" s="65"/>
      <c r="L48" s="65"/>
      <c r="M48" s="54" t="str">
        <f t="shared" si="2"/>
        <v>04</v>
      </c>
      <c r="N48" s="71">
        <f>IFERROR(__xludf.DUMMYFUNCTION("countunique(split(M48, "", ""))"),1.0)</f>
        <v>1</v>
      </c>
      <c r="O48" s="71">
        <f>IFERROR(__xludf.DUMMYFUNCTION("countif(split(K48,"",""),C48)"),0.0)</f>
        <v>0</v>
      </c>
      <c r="P48" s="55" t="b">
        <f>IFERROR(__xludf.DUMMYFUNCTION("MIN(split(J48,"",""))&lt;=7"),TRUE)</f>
        <v>1</v>
      </c>
      <c r="Q48" s="55" t="b">
        <f>IFERROR(__xludf.DUMMYFUNCTION("max(split(J48,"",""))&gt;=8"),FALSE)</f>
        <v>0</v>
      </c>
      <c r="R48" s="55" t="b">
        <f t="shared" si="3"/>
        <v>0</v>
      </c>
      <c r="S48" s="2"/>
    </row>
    <row r="49">
      <c r="A49" s="65" t="s">
        <v>2944</v>
      </c>
      <c r="B49" s="42">
        <v>55.0</v>
      </c>
      <c r="C49" s="48" t="s">
        <v>3246</v>
      </c>
      <c r="D49" s="2" t="s">
        <v>19</v>
      </c>
      <c r="E49" s="70" t="s">
        <v>3444</v>
      </c>
      <c r="F49" s="42" t="s">
        <v>2153</v>
      </c>
      <c r="G49" s="2"/>
      <c r="H49" s="54" t="str">
        <f t="shared" si="1"/>
        <v>(P4)</v>
      </c>
      <c r="I49" s="54" t="str">
        <f>IFERROR(__xludf.DUMMYFUNCTION("concatenate(ARRAYFORMULA(""P"" &amp; SPLIT(J49, "","") &amp; "",""))"),"P4,")</f>
        <v>P4,</v>
      </c>
      <c r="J49" s="54" t="str">
        <f>IFERROR(__xludf.DUMMYFUNCTION("ArrayFormula(textjoin("", "",true,unique(trim(split(M49,"","")),true)))"),"4")</f>
        <v>4</v>
      </c>
      <c r="K49" s="65"/>
      <c r="L49" s="65"/>
      <c r="M49" s="54" t="str">
        <f t="shared" si="2"/>
        <v>04</v>
      </c>
      <c r="N49" s="71">
        <f>IFERROR(__xludf.DUMMYFUNCTION("countunique(split(M49, "", ""))"),1.0)</f>
        <v>1</v>
      </c>
      <c r="O49" s="71">
        <f>IFERROR(__xludf.DUMMYFUNCTION("countif(split(K49,"",""),C49)"),0.0)</f>
        <v>0</v>
      </c>
      <c r="P49" s="55" t="b">
        <f>IFERROR(__xludf.DUMMYFUNCTION("MIN(split(J49,"",""))&lt;=7"),TRUE)</f>
        <v>1</v>
      </c>
      <c r="Q49" s="55" t="b">
        <f>IFERROR(__xludf.DUMMYFUNCTION("max(split(J49,"",""))&gt;=8"),FALSE)</f>
        <v>0</v>
      </c>
      <c r="R49" s="55" t="b">
        <f t="shared" si="3"/>
        <v>0</v>
      </c>
      <c r="S49" s="2"/>
    </row>
    <row r="50">
      <c r="A50" s="65" t="s">
        <v>2946</v>
      </c>
      <c r="B50" s="2">
        <v>56.0</v>
      </c>
      <c r="C50" s="48" t="s">
        <v>3246</v>
      </c>
      <c r="D50" s="2" t="s">
        <v>19</v>
      </c>
      <c r="E50" s="70" t="s">
        <v>3445</v>
      </c>
      <c r="F50" s="42" t="s">
        <v>2155</v>
      </c>
      <c r="G50" s="2"/>
      <c r="H50" s="54" t="str">
        <f t="shared" si="1"/>
        <v>(P4)</v>
      </c>
      <c r="I50" s="54" t="str">
        <f>IFERROR(__xludf.DUMMYFUNCTION("concatenate(ARRAYFORMULA(""P"" &amp; SPLIT(J50, "","") &amp; "",""))"),"P4,")</f>
        <v>P4,</v>
      </c>
      <c r="J50" s="54" t="str">
        <f>IFERROR(__xludf.DUMMYFUNCTION("ArrayFormula(textjoin("", "",true,unique(trim(split(M50,"","")),true)))"),"4")</f>
        <v>4</v>
      </c>
      <c r="K50" s="65"/>
      <c r="L50" s="65"/>
      <c r="M50" s="54" t="str">
        <f t="shared" si="2"/>
        <v>04</v>
      </c>
      <c r="N50" s="71">
        <f>IFERROR(__xludf.DUMMYFUNCTION("countunique(split(M50, "", ""))"),1.0)</f>
        <v>1</v>
      </c>
      <c r="O50" s="71">
        <f>IFERROR(__xludf.DUMMYFUNCTION("countif(split(K50,"",""),C50)"),0.0)</f>
        <v>0</v>
      </c>
      <c r="P50" s="55" t="b">
        <f>IFERROR(__xludf.DUMMYFUNCTION("MIN(split(J50,"",""))&lt;=7"),TRUE)</f>
        <v>1</v>
      </c>
      <c r="Q50" s="55" t="b">
        <f>IFERROR(__xludf.DUMMYFUNCTION("max(split(J50,"",""))&gt;=8"),FALSE)</f>
        <v>0</v>
      </c>
      <c r="R50" s="55" t="b">
        <f t="shared" si="3"/>
        <v>0</v>
      </c>
      <c r="S50" s="2"/>
    </row>
    <row r="51">
      <c r="A51" s="65" t="s">
        <v>2948</v>
      </c>
      <c r="B51" s="42">
        <v>57.0</v>
      </c>
      <c r="C51" s="48" t="s">
        <v>3246</v>
      </c>
      <c r="D51" s="2" t="s">
        <v>19</v>
      </c>
      <c r="E51" s="70" t="s">
        <v>3955</v>
      </c>
      <c r="F51" s="42" t="s">
        <v>3956</v>
      </c>
      <c r="G51" s="2" t="s">
        <v>3957</v>
      </c>
      <c r="H51" s="54" t="str">
        <f t="shared" si="1"/>
        <v>(P4,P8)</v>
      </c>
      <c r="I51" s="54" t="str">
        <f>IFERROR(__xludf.DUMMYFUNCTION("concatenate(ARRAYFORMULA(""P"" &amp; SPLIT(J51, "","") &amp; "",""))"),"P4,P8,")</f>
        <v>P4,P8,</v>
      </c>
      <c r="J51" s="54" t="str">
        <f>IFERROR(__xludf.DUMMYFUNCTION("ArrayFormula(textjoin("", "",true,unique(trim(split(M51,"","")),true)))"),"4, 8")</f>
        <v>4, 8</v>
      </c>
      <c r="K51" s="65" t="s">
        <v>3329</v>
      </c>
      <c r="L51" s="65" t="s">
        <v>3134</v>
      </c>
      <c r="M51" s="54" t="str">
        <f t="shared" si="2"/>
        <v>04, 08</v>
      </c>
      <c r="N51" s="71">
        <f>IFERROR(__xludf.DUMMYFUNCTION("countunique(split(M51, "", ""))"),2.0)</f>
        <v>2</v>
      </c>
      <c r="O51" s="71">
        <f>IFERROR(__xludf.DUMMYFUNCTION("countif(split(K51,"",""),C51)"),0.0)</f>
        <v>0</v>
      </c>
      <c r="P51" s="55" t="b">
        <f>IFERROR(__xludf.DUMMYFUNCTION("MIN(split(J51,"",""))&lt;=7"),TRUE)</f>
        <v>1</v>
      </c>
      <c r="Q51" s="55" t="b">
        <f>IFERROR(__xludf.DUMMYFUNCTION("max(split(J51,"",""))&gt;=8"),TRUE)</f>
        <v>1</v>
      </c>
      <c r="R51" s="55" t="b">
        <f t="shared" si="3"/>
        <v>1</v>
      </c>
      <c r="S51" s="2"/>
    </row>
    <row r="52">
      <c r="A52" s="65" t="s">
        <v>2950</v>
      </c>
      <c r="B52" s="2">
        <v>58.0</v>
      </c>
      <c r="C52" s="48" t="s">
        <v>3246</v>
      </c>
      <c r="D52" s="2" t="s">
        <v>19</v>
      </c>
      <c r="E52" s="70" t="s">
        <v>3447</v>
      </c>
      <c r="F52" s="42" t="s">
        <v>2159</v>
      </c>
      <c r="G52" s="2"/>
      <c r="H52" s="54" t="str">
        <f t="shared" si="1"/>
        <v>(P4)</v>
      </c>
      <c r="I52" s="54" t="str">
        <f>IFERROR(__xludf.DUMMYFUNCTION("concatenate(ARRAYFORMULA(""P"" &amp; SPLIT(J52, "","") &amp; "",""))"),"P4,")</f>
        <v>P4,</v>
      </c>
      <c r="J52" s="54" t="str">
        <f>IFERROR(__xludf.DUMMYFUNCTION("ArrayFormula(textjoin("", "",true,unique(trim(split(M52,"","")),true)))"),"4")</f>
        <v>4</v>
      </c>
      <c r="K52" s="65"/>
      <c r="L52" s="65"/>
      <c r="M52" s="54" t="str">
        <f t="shared" si="2"/>
        <v>04</v>
      </c>
      <c r="N52" s="71">
        <f>IFERROR(__xludf.DUMMYFUNCTION("countunique(split(M52, "", ""))"),1.0)</f>
        <v>1</v>
      </c>
      <c r="O52" s="71">
        <f>IFERROR(__xludf.DUMMYFUNCTION("countif(split(K52,"",""),C52)"),0.0)</f>
        <v>0</v>
      </c>
      <c r="P52" s="55" t="b">
        <f>IFERROR(__xludf.DUMMYFUNCTION("MIN(split(J52,"",""))&lt;=7"),TRUE)</f>
        <v>1</v>
      </c>
      <c r="Q52" s="55" t="b">
        <f>IFERROR(__xludf.DUMMYFUNCTION("max(split(J52,"",""))&gt;=8"),FALSE)</f>
        <v>0</v>
      </c>
      <c r="R52" s="55" t="b">
        <f t="shared" si="3"/>
        <v>0</v>
      </c>
      <c r="S52" s="2"/>
    </row>
    <row r="53">
      <c r="A53" s="65" t="s">
        <v>2952</v>
      </c>
      <c r="B53" s="42">
        <v>59.0</v>
      </c>
      <c r="C53" s="48" t="s">
        <v>3246</v>
      </c>
      <c r="D53" s="2" t="s">
        <v>19</v>
      </c>
      <c r="E53" s="70" t="s">
        <v>3958</v>
      </c>
      <c r="F53" s="42" t="s">
        <v>3959</v>
      </c>
      <c r="G53" s="2" t="s">
        <v>3960</v>
      </c>
      <c r="H53" s="54" t="str">
        <f t="shared" si="1"/>
        <v>(P4,P12,P13,P14)</v>
      </c>
      <c r="I53" s="54" t="str">
        <f>IFERROR(__xludf.DUMMYFUNCTION("concatenate(ARRAYFORMULA(""P"" &amp; SPLIT(J53, "","") &amp; "",""))"),"P4,P12,P13,P14,")</f>
        <v>P4,P12,P13,P14,</v>
      </c>
      <c r="J53" s="54" t="str">
        <f>IFERROR(__xludf.DUMMYFUNCTION("ArrayFormula(textjoin("", "",true,unique(trim(split(M53,"","")),true)))"),"4, 12, 13, 14")</f>
        <v>4, 12, 13, 14</v>
      </c>
      <c r="K53" s="65" t="s">
        <v>3961</v>
      </c>
      <c r="L53" s="65" t="s">
        <v>3962</v>
      </c>
      <c r="M53" s="54" t="str">
        <f t="shared" si="2"/>
        <v>04, 12, 13, 13, 14</v>
      </c>
      <c r="N53" s="71">
        <f>IFERROR(__xludf.DUMMYFUNCTION("countunique(split(M53, "", ""))"),4.0)</f>
        <v>4</v>
      </c>
      <c r="O53" s="71">
        <f>IFERROR(__xludf.DUMMYFUNCTION("countif(split(K53,"",""),C53)"),0.0)</f>
        <v>0</v>
      </c>
      <c r="P53" s="55" t="b">
        <f>IFERROR(__xludf.DUMMYFUNCTION("MIN(split(J53,"",""))&lt;=7"),TRUE)</f>
        <v>1</v>
      </c>
      <c r="Q53" s="55" t="b">
        <f>IFERROR(__xludf.DUMMYFUNCTION("max(split(J53,"",""))&gt;=8"),TRUE)</f>
        <v>1</v>
      </c>
      <c r="R53" s="55" t="b">
        <f t="shared" si="3"/>
        <v>1</v>
      </c>
      <c r="S53" s="2"/>
    </row>
    <row r="54">
      <c r="A54" s="65" t="s">
        <v>2954</v>
      </c>
      <c r="B54" s="2">
        <v>60.0</v>
      </c>
      <c r="C54" s="48" t="s">
        <v>3246</v>
      </c>
      <c r="D54" s="2" t="s">
        <v>19</v>
      </c>
      <c r="E54" s="70" t="s">
        <v>3963</v>
      </c>
      <c r="F54" s="42" t="s">
        <v>3964</v>
      </c>
      <c r="G54" s="2" t="s">
        <v>3965</v>
      </c>
      <c r="H54" s="54" t="str">
        <f t="shared" si="1"/>
        <v>(P4,P5,P10,P11,P14)</v>
      </c>
      <c r="I54" s="54" t="str">
        <f>IFERROR(__xludf.DUMMYFUNCTION("concatenate(ARRAYFORMULA(""P"" &amp; SPLIT(J54, "","") &amp; "",""))"),"P4,P5,P10,P11,P14,")</f>
        <v>P4,P5,P10,P11,P14,</v>
      </c>
      <c r="J54" s="54" t="str">
        <f>IFERROR(__xludf.DUMMYFUNCTION("ArrayFormula(textjoin("", "",true,unique(trim(split(M54,"","")),true)))"),"4, 5, 10, 11, 14")</f>
        <v>4, 5, 10, 11, 14</v>
      </c>
      <c r="K54" s="65" t="s">
        <v>3966</v>
      </c>
      <c r="L54" s="65" t="s">
        <v>3967</v>
      </c>
      <c r="M54" s="54" t="str">
        <f t="shared" si="2"/>
        <v>04, 04, 05, 10, 10, 11, 14</v>
      </c>
      <c r="N54" s="71">
        <f>IFERROR(__xludf.DUMMYFUNCTION("countunique(split(M54, "", ""))"),5.0)</f>
        <v>5</v>
      </c>
      <c r="O54" s="71">
        <f>IFERROR(__xludf.DUMMYFUNCTION("countif(split(K54,"",""),C54)"),1.0)</f>
        <v>1</v>
      </c>
      <c r="P54" s="55" t="b">
        <f>IFERROR(__xludf.DUMMYFUNCTION("MIN(split(J54,"",""))&lt;=7"),TRUE)</f>
        <v>1</v>
      </c>
      <c r="Q54" s="55" t="b">
        <f>IFERROR(__xludf.DUMMYFUNCTION("max(split(J54,"",""))&gt;=8"),TRUE)</f>
        <v>1</v>
      </c>
      <c r="R54" s="55" t="b">
        <f t="shared" si="3"/>
        <v>1</v>
      </c>
      <c r="S54" s="2"/>
    </row>
    <row r="55">
      <c r="A55" s="65" t="s">
        <v>2956</v>
      </c>
      <c r="B55" s="42">
        <v>61.0</v>
      </c>
      <c r="C55" s="48" t="s">
        <v>3246</v>
      </c>
      <c r="D55" s="2" t="s">
        <v>19</v>
      </c>
      <c r="E55" s="70" t="s">
        <v>3450</v>
      </c>
      <c r="F55" s="42" t="s">
        <v>2165</v>
      </c>
      <c r="G55" s="2"/>
      <c r="H55" s="54" t="str">
        <f t="shared" si="1"/>
        <v>(P4)</v>
      </c>
      <c r="I55" s="54" t="str">
        <f>IFERROR(__xludf.DUMMYFUNCTION("concatenate(ARRAYFORMULA(""P"" &amp; SPLIT(J55, "","") &amp; "",""))"),"P4,")</f>
        <v>P4,</v>
      </c>
      <c r="J55" s="54" t="str">
        <f>IFERROR(__xludf.DUMMYFUNCTION("ArrayFormula(textjoin("", "",true,unique(trim(split(M55,"","")),true)))"),"4")</f>
        <v>4</v>
      </c>
      <c r="K55" s="65"/>
      <c r="L55" s="65"/>
      <c r="M55" s="54" t="str">
        <f t="shared" si="2"/>
        <v>04</v>
      </c>
      <c r="N55" s="71">
        <f>IFERROR(__xludf.DUMMYFUNCTION("countunique(split(M55, "", ""))"),1.0)</f>
        <v>1</v>
      </c>
      <c r="O55" s="71">
        <f>IFERROR(__xludf.DUMMYFUNCTION("countif(split(K55,"",""),C55)"),0.0)</f>
        <v>0</v>
      </c>
      <c r="P55" s="55" t="b">
        <f>IFERROR(__xludf.DUMMYFUNCTION("MIN(split(J55,"",""))&lt;=7"),TRUE)</f>
        <v>1</v>
      </c>
      <c r="Q55" s="55" t="b">
        <f>IFERROR(__xludf.DUMMYFUNCTION("max(split(J55,"",""))&gt;=8"),FALSE)</f>
        <v>0</v>
      </c>
      <c r="R55" s="55" t="b">
        <f t="shared" si="3"/>
        <v>0</v>
      </c>
      <c r="S55" s="2"/>
    </row>
    <row r="56">
      <c r="A56" s="65" t="s">
        <v>2958</v>
      </c>
      <c r="B56" s="2">
        <v>62.0</v>
      </c>
      <c r="C56" s="48" t="s">
        <v>3246</v>
      </c>
      <c r="D56" s="2" t="s">
        <v>19</v>
      </c>
      <c r="E56" s="70" t="s">
        <v>3451</v>
      </c>
      <c r="F56" s="42" t="s">
        <v>2168</v>
      </c>
      <c r="G56" s="2"/>
      <c r="H56" s="54" t="str">
        <f t="shared" si="1"/>
        <v>(P4)</v>
      </c>
      <c r="I56" s="54" t="str">
        <f>IFERROR(__xludf.DUMMYFUNCTION("concatenate(ARRAYFORMULA(""P"" &amp; SPLIT(J56, "","") &amp; "",""))"),"P4,")</f>
        <v>P4,</v>
      </c>
      <c r="J56" s="54" t="str">
        <f>IFERROR(__xludf.DUMMYFUNCTION("ArrayFormula(textjoin("", "",true,unique(trim(split(M56,"","")),true)))"),"4")</f>
        <v>4</v>
      </c>
      <c r="K56" s="65"/>
      <c r="L56" s="65"/>
      <c r="M56" s="54" t="str">
        <f t="shared" si="2"/>
        <v>04</v>
      </c>
      <c r="N56" s="71">
        <f>IFERROR(__xludf.DUMMYFUNCTION("countunique(split(M56, "", ""))"),1.0)</f>
        <v>1</v>
      </c>
      <c r="O56" s="71">
        <f>IFERROR(__xludf.DUMMYFUNCTION("countif(split(K56,"",""),C56)"),0.0)</f>
        <v>0</v>
      </c>
      <c r="P56" s="55" t="b">
        <f>IFERROR(__xludf.DUMMYFUNCTION("MIN(split(J56,"",""))&lt;=7"),TRUE)</f>
        <v>1</v>
      </c>
      <c r="Q56" s="55" t="b">
        <f>IFERROR(__xludf.DUMMYFUNCTION("max(split(J56,"",""))&gt;=8"),FALSE)</f>
        <v>0</v>
      </c>
      <c r="R56" s="55" t="b">
        <f t="shared" si="3"/>
        <v>0</v>
      </c>
      <c r="S56" s="2"/>
    </row>
    <row r="57">
      <c r="A57" s="65" t="s">
        <v>2960</v>
      </c>
      <c r="B57" s="42">
        <v>63.0</v>
      </c>
      <c r="C57" s="48" t="s">
        <v>3246</v>
      </c>
      <c r="D57" s="2" t="s">
        <v>19</v>
      </c>
      <c r="E57" s="70" t="s">
        <v>3968</v>
      </c>
      <c r="F57" s="42" t="s">
        <v>3969</v>
      </c>
      <c r="G57" s="2" t="s">
        <v>3970</v>
      </c>
      <c r="H57" s="54" t="str">
        <f t="shared" si="1"/>
        <v>(P4,P8,P9,P12)</v>
      </c>
      <c r="I57" s="54" t="str">
        <f>IFERROR(__xludf.DUMMYFUNCTION("concatenate(ARRAYFORMULA(""P"" &amp; SPLIT(J57, "","") &amp; "",""))"),"P4,P8,P9,P12,")</f>
        <v>P4,P8,P9,P12,</v>
      </c>
      <c r="J57" s="54" t="str">
        <f>IFERROR(__xludf.DUMMYFUNCTION("ArrayFormula(textjoin("", "",true,unique(trim(split(M57,"","")),true)))"),"4, 8, 9, 12")</f>
        <v>4, 8, 9, 12</v>
      </c>
      <c r="K57" s="65" t="s">
        <v>3971</v>
      </c>
      <c r="L57" s="65" t="s">
        <v>3972</v>
      </c>
      <c r="M57" s="54" t="str">
        <f t="shared" si="2"/>
        <v>04, 08, 08, 08, 09, 09, 12</v>
      </c>
      <c r="N57" s="71">
        <f>IFERROR(__xludf.DUMMYFUNCTION("countunique(split(M57, "", ""))"),4.0)</f>
        <v>4</v>
      </c>
      <c r="O57" s="71">
        <f>IFERROR(__xludf.DUMMYFUNCTION("countif(split(K57,"",""),C57)"),0.0)</f>
        <v>0</v>
      </c>
      <c r="P57" s="55" t="b">
        <f>IFERROR(__xludf.DUMMYFUNCTION("MIN(split(J57,"",""))&lt;=7"),TRUE)</f>
        <v>1</v>
      </c>
      <c r="Q57" s="55" t="b">
        <f>IFERROR(__xludf.DUMMYFUNCTION("max(split(J57,"",""))&gt;=8"),TRUE)</f>
        <v>1</v>
      </c>
      <c r="R57" s="55" t="b">
        <f t="shared" si="3"/>
        <v>1</v>
      </c>
      <c r="S57" s="2" t="s">
        <v>3973</v>
      </c>
    </row>
    <row r="58">
      <c r="A58" s="65" t="s">
        <v>2962</v>
      </c>
      <c r="B58" s="2">
        <v>64.0</v>
      </c>
      <c r="C58" s="48" t="s">
        <v>3246</v>
      </c>
      <c r="D58" s="2" t="s">
        <v>19</v>
      </c>
      <c r="E58" s="70" t="s">
        <v>3974</v>
      </c>
      <c r="F58" s="42" t="s">
        <v>3975</v>
      </c>
      <c r="G58" s="2" t="s">
        <v>3976</v>
      </c>
      <c r="H58" s="54" t="str">
        <f t="shared" si="1"/>
        <v>(P4,P12)</v>
      </c>
      <c r="I58" s="54" t="str">
        <f>IFERROR(__xludf.DUMMYFUNCTION("concatenate(ARRAYFORMULA(""P"" &amp; SPLIT(J58, "","") &amp; "",""))"),"P4,P12,")</f>
        <v>P4,P12,</v>
      </c>
      <c r="J58" s="54" t="str">
        <f>IFERROR(__xludf.DUMMYFUNCTION("ArrayFormula(textjoin("", "",true,unique(trim(split(M58,"","")),true)))"),"4, 12")</f>
        <v>4, 12</v>
      </c>
      <c r="K58" s="65" t="s">
        <v>3977</v>
      </c>
      <c r="L58" s="65" t="s">
        <v>3978</v>
      </c>
      <c r="M58" s="54" t="str">
        <f t="shared" si="2"/>
        <v>04, 04, 12</v>
      </c>
      <c r="N58" s="71">
        <f>IFERROR(__xludf.DUMMYFUNCTION("countunique(split(M58, "", ""))"),2.0)</f>
        <v>2</v>
      </c>
      <c r="O58" s="71">
        <f>IFERROR(__xludf.DUMMYFUNCTION("countif(split(K58,"",""),C58)"),1.0)</f>
        <v>1</v>
      </c>
      <c r="P58" s="55" t="b">
        <f>IFERROR(__xludf.DUMMYFUNCTION("MIN(split(J58,"",""))&lt;=7"),TRUE)</f>
        <v>1</v>
      </c>
      <c r="Q58" s="55" t="b">
        <f>IFERROR(__xludf.DUMMYFUNCTION("max(split(J58,"",""))&gt;=8"),TRUE)</f>
        <v>1</v>
      </c>
      <c r="R58" s="55" t="b">
        <f t="shared" si="3"/>
        <v>1</v>
      </c>
      <c r="S58" s="80" t="s">
        <v>3979</v>
      </c>
    </row>
    <row r="59">
      <c r="A59" s="65" t="s">
        <v>2966</v>
      </c>
      <c r="B59" s="2">
        <v>66.0</v>
      </c>
      <c r="C59" s="48" t="s">
        <v>3246</v>
      </c>
      <c r="D59" s="2" t="s">
        <v>19</v>
      </c>
      <c r="E59" s="70" t="s">
        <v>3455</v>
      </c>
      <c r="F59" s="42" t="s">
        <v>2175</v>
      </c>
      <c r="G59" s="2"/>
      <c r="H59" s="54" t="str">
        <f t="shared" si="1"/>
        <v>(P4)</v>
      </c>
      <c r="I59" s="54" t="str">
        <f>IFERROR(__xludf.DUMMYFUNCTION("concatenate(ARRAYFORMULA(""P"" &amp; SPLIT(J59, "","") &amp; "",""))"),"P4,")</f>
        <v>P4,</v>
      </c>
      <c r="J59" s="54" t="str">
        <f>IFERROR(__xludf.DUMMYFUNCTION("ArrayFormula(textjoin("", "",true,unique(trim(split(M59,"","")),true)))"),"4")</f>
        <v>4</v>
      </c>
      <c r="K59" s="65"/>
      <c r="L59" s="65"/>
      <c r="M59" s="54" t="str">
        <f t="shared" si="2"/>
        <v>04</v>
      </c>
      <c r="N59" s="71">
        <f>IFERROR(__xludf.DUMMYFUNCTION("countunique(split(M59, "", ""))"),1.0)</f>
        <v>1</v>
      </c>
      <c r="O59" s="71">
        <f>IFERROR(__xludf.DUMMYFUNCTION("countif(split(K59,"",""),C59)"),0.0)</f>
        <v>0</v>
      </c>
      <c r="P59" s="55" t="b">
        <f>IFERROR(__xludf.DUMMYFUNCTION("MIN(split(J59,"",""))&lt;=7"),TRUE)</f>
        <v>1</v>
      </c>
      <c r="Q59" s="55" t="b">
        <f>IFERROR(__xludf.DUMMYFUNCTION("max(split(J59,"",""))&gt;=8"),FALSE)</f>
        <v>0</v>
      </c>
      <c r="R59" s="55" t="b">
        <f t="shared" si="3"/>
        <v>0</v>
      </c>
      <c r="S59" s="2"/>
    </row>
    <row r="60">
      <c r="A60" s="65" t="s">
        <v>2968</v>
      </c>
      <c r="B60" s="42">
        <v>67.0</v>
      </c>
      <c r="C60" s="48" t="s">
        <v>3246</v>
      </c>
      <c r="D60" s="2" t="s">
        <v>19</v>
      </c>
      <c r="E60" s="70" t="s">
        <v>3456</v>
      </c>
      <c r="F60" s="42" t="s">
        <v>2176</v>
      </c>
      <c r="G60" s="2"/>
      <c r="H60" s="54" t="str">
        <f t="shared" si="1"/>
        <v>(P4)</v>
      </c>
      <c r="I60" s="54" t="str">
        <f>IFERROR(__xludf.DUMMYFUNCTION("concatenate(ARRAYFORMULA(""P"" &amp; SPLIT(J60, "","") &amp; "",""))"),"P4,")</f>
        <v>P4,</v>
      </c>
      <c r="J60" s="54" t="str">
        <f>IFERROR(__xludf.DUMMYFUNCTION("ArrayFormula(textjoin("", "",true,unique(trim(split(M60,"","")),true)))"),"4")</f>
        <v>4</v>
      </c>
      <c r="K60" s="65"/>
      <c r="L60" s="65"/>
      <c r="M60" s="54" t="str">
        <f t="shared" si="2"/>
        <v>04</v>
      </c>
      <c r="N60" s="71">
        <f>IFERROR(__xludf.DUMMYFUNCTION("countunique(split(M60, "", ""))"),1.0)</f>
        <v>1</v>
      </c>
      <c r="O60" s="71">
        <f>IFERROR(__xludf.DUMMYFUNCTION("countif(split(K60,"",""),C60)"),0.0)</f>
        <v>0</v>
      </c>
      <c r="P60" s="55" t="b">
        <f>IFERROR(__xludf.DUMMYFUNCTION("MIN(split(J60,"",""))&lt;=7"),TRUE)</f>
        <v>1</v>
      </c>
      <c r="Q60" s="55" t="b">
        <f>IFERROR(__xludf.DUMMYFUNCTION("max(split(J60,"",""))&gt;=8"),FALSE)</f>
        <v>0</v>
      </c>
      <c r="R60" s="55" t="b">
        <f t="shared" si="3"/>
        <v>0</v>
      </c>
      <c r="S60" s="2"/>
    </row>
    <row r="61">
      <c r="A61" s="65" t="s">
        <v>2972</v>
      </c>
      <c r="B61" s="2">
        <v>68.0</v>
      </c>
      <c r="C61" s="48" t="s">
        <v>3246</v>
      </c>
      <c r="D61" s="2" t="s">
        <v>19</v>
      </c>
      <c r="E61" s="70" t="s">
        <v>3458</v>
      </c>
      <c r="F61" s="42" t="s">
        <v>2180</v>
      </c>
      <c r="G61" s="2"/>
      <c r="H61" s="54" t="str">
        <f t="shared" si="1"/>
        <v>(P4)</v>
      </c>
      <c r="I61" s="54" t="str">
        <f>IFERROR(__xludf.DUMMYFUNCTION("concatenate(ARRAYFORMULA(""P"" &amp; SPLIT(J61, "","") &amp; "",""))"),"P4,")</f>
        <v>P4,</v>
      </c>
      <c r="J61" s="54" t="str">
        <f>IFERROR(__xludf.DUMMYFUNCTION("ArrayFormula(textjoin("", "",true,unique(trim(split(M61,"","")),true)))"),"4")</f>
        <v>4</v>
      </c>
      <c r="K61" s="65"/>
      <c r="L61" s="65"/>
      <c r="M61" s="54" t="str">
        <f t="shared" si="2"/>
        <v>04</v>
      </c>
      <c r="N61" s="71">
        <f>IFERROR(__xludf.DUMMYFUNCTION("countunique(split(M61, "", ""))"),1.0)</f>
        <v>1</v>
      </c>
      <c r="O61" s="71">
        <f>IFERROR(__xludf.DUMMYFUNCTION("countif(split(K61,"",""),C61)"),0.0)</f>
        <v>0</v>
      </c>
      <c r="P61" s="55" t="b">
        <f>IFERROR(__xludf.DUMMYFUNCTION("MIN(split(J61,"",""))&lt;=7"),TRUE)</f>
        <v>1</v>
      </c>
      <c r="Q61" s="55" t="b">
        <f>IFERROR(__xludf.DUMMYFUNCTION("max(split(J61,"",""))&gt;=8"),FALSE)</f>
        <v>0</v>
      </c>
      <c r="R61" s="55" t="b">
        <f t="shared" si="3"/>
        <v>0</v>
      </c>
      <c r="S61" s="2"/>
    </row>
    <row r="62">
      <c r="A62" s="65" t="s">
        <v>2974</v>
      </c>
      <c r="B62" s="42">
        <v>69.0</v>
      </c>
      <c r="C62" s="48" t="s">
        <v>3246</v>
      </c>
      <c r="D62" s="2" t="s">
        <v>19</v>
      </c>
      <c r="E62" s="70" t="s">
        <v>3459</v>
      </c>
      <c r="F62" s="42" t="s">
        <v>2182</v>
      </c>
      <c r="G62" s="2"/>
      <c r="H62" s="54" t="str">
        <f t="shared" si="1"/>
        <v>(P4)</v>
      </c>
      <c r="I62" s="54" t="str">
        <f>IFERROR(__xludf.DUMMYFUNCTION("concatenate(ARRAYFORMULA(""P"" &amp; SPLIT(J62, "","") &amp; "",""))"),"P4,")</f>
        <v>P4,</v>
      </c>
      <c r="J62" s="54" t="str">
        <f>IFERROR(__xludf.DUMMYFUNCTION("ArrayFormula(textjoin("", "",true,unique(trim(split(M62,"","")),true)))"),"4")</f>
        <v>4</v>
      </c>
      <c r="K62" s="65"/>
      <c r="L62" s="65"/>
      <c r="M62" s="54" t="str">
        <f t="shared" si="2"/>
        <v>04</v>
      </c>
      <c r="N62" s="71">
        <f>IFERROR(__xludf.DUMMYFUNCTION("countunique(split(M62, "", ""))"),1.0)</f>
        <v>1</v>
      </c>
      <c r="O62" s="71">
        <f>IFERROR(__xludf.DUMMYFUNCTION("countif(split(K62,"",""),C62)"),0.0)</f>
        <v>0</v>
      </c>
      <c r="P62" s="55" t="b">
        <f>IFERROR(__xludf.DUMMYFUNCTION("MIN(split(J62,"",""))&lt;=7"),TRUE)</f>
        <v>1</v>
      </c>
      <c r="Q62" s="55" t="b">
        <f>IFERROR(__xludf.DUMMYFUNCTION("max(split(J62,"",""))&gt;=8"),FALSE)</f>
        <v>0</v>
      </c>
      <c r="R62" s="55" t="b">
        <f t="shared" si="3"/>
        <v>0</v>
      </c>
      <c r="S62" s="2"/>
    </row>
    <row r="63">
      <c r="A63" s="65" t="s">
        <v>2977</v>
      </c>
      <c r="B63" s="2">
        <v>70.0</v>
      </c>
      <c r="C63" s="48" t="s">
        <v>3246</v>
      </c>
      <c r="D63" s="2" t="s">
        <v>19</v>
      </c>
      <c r="E63" s="70" t="s">
        <v>3461</v>
      </c>
      <c r="F63" s="42" t="s">
        <v>2186</v>
      </c>
      <c r="G63" s="2"/>
      <c r="H63" s="54" t="str">
        <f t="shared" si="1"/>
        <v>(P4)</v>
      </c>
      <c r="I63" s="54" t="str">
        <f>IFERROR(__xludf.DUMMYFUNCTION("concatenate(ARRAYFORMULA(""P"" &amp; SPLIT(J63, "","") &amp; "",""))"),"P4,")</f>
        <v>P4,</v>
      </c>
      <c r="J63" s="54" t="str">
        <f>IFERROR(__xludf.DUMMYFUNCTION("ArrayFormula(textjoin("", "",true,unique(trim(split(M63,"","")),true)))"),"4")</f>
        <v>4</v>
      </c>
      <c r="K63" s="65"/>
      <c r="L63" s="65"/>
      <c r="M63" s="54" t="str">
        <f t="shared" si="2"/>
        <v>04</v>
      </c>
      <c r="N63" s="71">
        <f>IFERROR(__xludf.DUMMYFUNCTION("countunique(split(M63, "", ""))"),1.0)</f>
        <v>1</v>
      </c>
      <c r="O63" s="71">
        <f>IFERROR(__xludf.DUMMYFUNCTION("countif(split(K63,"",""),C63)"),0.0)</f>
        <v>0</v>
      </c>
      <c r="P63" s="55" t="b">
        <f>IFERROR(__xludf.DUMMYFUNCTION("MIN(split(J63,"",""))&lt;=7"),TRUE)</f>
        <v>1</v>
      </c>
      <c r="Q63" s="55" t="b">
        <f>IFERROR(__xludf.DUMMYFUNCTION("max(split(J63,"",""))&gt;=8"),FALSE)</f>
        <v>0</v>
      </c>
      <c r="R63" s="55" t="b">
        <f t="shared" si="3"/>
        <v>0</v>
      </c>
      <c r="S63" s="2"/>
    </row>
    <row r="64">
      <c r="A64" s="65" t="s">
        <v>2978</v>
      </c>
      <c r="B64" s="42">
        <v>71.0</v>
      </c>
      <c r="C64" s="48" t="s">
        <v>3246</v>
      </c>
      <c r="D64" s="2" t="s">
        <v>19</v>
      </c>
      <c r="E64" s="70" t="s">
        <v>3462</v>
      </c>
      <c r="F64" s="42" t="s">
        <v>2188</v>
      </c>
      <c r="G64" s="2"/>
      <c r="H64" s="54" t="str">
        <f t="shared" si="1"/>
        <v>(P4)</v>
      </c>
      <c r="I64" s="54" t="str">
        <f>IFERROR(__xludf.DUMMYFUNCTION("concatenate(ARRAYFORMULA(""P"" &amp; SPLIT(J64, "","") &amp; "",""))"),"P4,")</f>
        <v>P4,</v>
      </c>
      <c r="J64" s="54" t="str">
        <f>IFERROR(__xludf.DUMMYFUNCTION("ArrayFormula(textjoin("", "",true,unique(trim(split(M64,"","")),true)))"),"4")</f>
        <v>4</v>
      </c>
      <c r="K64" s="65"/>
      <c r="L64" s="65"/>
      <c r="M64" s="54" t="str">
        <f t="shared" si="2"/>
        <v>04</v>
      </c>
      <c r="N64" s="71">
        <f>IFERROR(__xludf.DUMMYFUNCTION("countunique(split(M64, "", ""))"),1.0)</f>
        <v>1</v>
      </c>
      <c r="O64" s="71">
        <f>IFERROR(__xludf.DUMMYFUNCTION("countif(split(K64,"",""),C64)"),0.0)</f>
        <v>0</v>
      </c>
      <c r="P64" s="55" t="b">
        <f>IFERROR(__xludf.DUMMYFUNCTION("MIN(split(J64,"",""))&lt;=7"),TRUE)</f>
        <v>1</v>
      </c>
      <c r="Q64" s="55" t="b">
        <f>IFERROR(__xludf.DUMMYFUNCTION("max(split(J64,"",""))&gt;=8"),FALSE)</f>
        <v>0</v>
      </c>
      <c r="R64" s="55" t="b">
        <f t="shared" si="3"/>
        <v>0</v>
      </c>
      <c r="S64" s="2"/>
    </row>
    <row r="65">
      <c r="A65" s="65" t="s">
        <v>2979</v>
      </c>
      <c r="B65" s="2">
        <v>72.0</v>
      </c>
      <c r="C65" s="48" t="s">
        <v>3246</v>
      </c>
      <c r="D65" s="2" t="s">
        <v>19</v>
      </c>
      <c r="E65" s="70" t="s">
        <v>3463</v>
      </c>
      <c r="F65" s="42" t="s">
        <v>2190</v>
      </c>
      <c r="G65" s="2"/>
      <c r="H65" s="54" t="str">
        <f t="shared" si="1"/>
        <v>(P4)</v>
      </c>
      <c r="I65" s="54" t="str">
        <f>IFERROR(__xludf.DUMMYFUNCTION("concatenate(ARRAYFORMULA(""P"" &amp; SPLIT(J65, "","") &amp; "",""))"),"P4,")</f>
        <v>P4,</v>
      </c>
      <c r="J65" s="54" t="str">
        <f>IFERROR(__xludf.DUMMYFUNCTION("ArrayFormula(textjoin("", "",true,unique(trim(split(M65,"","")),true)))"),"4")</f>
        <v>4</v>
      </c>
      <c r="K65" s="65"/>
      <c r="L65" s="65"/>
      <c r="M65" s="54" t="str">
        <f t="shared" si="2"/>
        <v>04</v>
      </c>
      <c r="N65" s="71">
        <f>IFERROR(__xludf.DUMMYFUNCTION("countunique(split(M65, "", ""))"),1.0)</f>
        <v>1</v>
      </c>
      <c r="O65" s="71">
        <f>IFERROR(__xludf.DUMMYFUNCTION("countif(split(K65,"",""),C65)"),0.0)</f>
        <v>0</v>
      </c>
      <c r="P65" s="55" t="b">
        <f>IFERROR(__xludf.DUMMYFUNCTION("MIN(split(J65,"",""))&lt;=7"),TRUE)</f>
        <v>1</v>
      </c>
      <c r="Q65" s="55" t="b">
        <f>IFERROR(__xludf.DUMMYFUNCTION("max(split(J65,"",""))&gt;=8"),FALSE)</f>
        <v>0</v>
      </c>
      <c r="R65" s="55" t="b">
        <f t="shared" si="3"/>
        <v>0</v>
      </c>
      <c r="S65" s="2"/>
    </row>
    <row r="66">
      <c r="A66" s="65" t="s">
        <v>2981</v>
      </c>
      <c r="B66" s="42">
        <v>73.0</v>
      </c>
      <c r="C66" s="48" t="s">
        <v>3246</v>
      </c>
      <c r="D66" s="2" t="s">
        <v>19</v>
      </c>
      <c r="E66" s="70" t="s">
        <v>3464</v>
      </c>
      <c r="F66" s="42" t="s">
        <v>2192</v>
      </c>
      <c r="G66" s="2"/>
      <c r="H66" s="54" t="str">
        <f t="shared" si="1"/>
        <v>(P4)</v>
      </c>
      <c r="I66" s="54" t="str">
        <f>IFERROR(__xludf.DUMMYFUNCTION("concatenate(ARRAYFORMULA(""P"" &amp; SPLIT(J66, "","") &amp; "",""))"),"P4,")</f>
        <v>P4,</v>
      </c>
      <c r="J66" s="54" t="str">
        <f>IFERROR(__xludf.DUMMYFUNCTION("ArrayFormula(textjoin("", "",true,unique(trim(split(M66,"","")),true)))"),"4")</f>
        <v>4</v>
      </c>
      <c r="K66" s="65"/>
      <c r="L66" s="65"/>
      <c r="M66" s="54" t="str">
        <f t="shared" si="2"/>
        <v>04</v>
      </c>
      <c r="N66" s="71">
        <f>IFERROR(__xludf.DUMMYFUNCTION("countunique(split(M66, "", ""))"),1.0)</f>
        <v>1</v>
      </c>
      <c r="O66" s="71">
        <f>IFERROR(__xludf.DUMMYFUNCTION("countif(split(K66,"",""),C66)"),0.0)</f>
        <v>0</v>
      </c>
      <c r="P66" s="55" t="b">
        <f>IFERROR(__xludf.DUMMYFUNCTION("MIN(split(J66,"",""))&lt;=7"),TRUE)</f>
        <v>1</v>
      </c>
      <c r="Q66" s="55" t="b">
        <f>IFERROR(__xludf.DUMMYFUNCTION("max(split(J66,"",""))&gt;=8"),FALSE)</f>
        <v>0</v>
      </c>
      <c r="R66" s="55" t="b">
        <f t="shared" si="3"/>
        <v>0</v>
      </c>
      <c r="S66" s="2"/>
    </row>
    <row r="67">
      <c r="A67" s="65" t="s">
        <v>2984</v>
      </c>
      <c r="B67" s="2">
        <v>74.0</v>
      </c>
      <c r="C67" s="48" t="s">
        <v>3246</v>
      </c>
      <c r="D67" s="2" t="s">
        <v>19</v>
      </c>
      <c r="E67" s="70" t="s">
        <v>3466</v>
      </c>
      <c r="F67" s="42" t="s">
        <v>2197</v>
      </c>
      <c r="G67" s="2"/>
      <c r="H67" s="54" t="str">
        <f t="shared" si="1"/>
        <v>(P4)</v>
      </c>
      <c r="I67" s="54" t="str">
        <f>IFERROR(__xludf.DUMMYFUNCTION("concatenate(ARRAYFORMULA(""P"" &amp; SPLIT(J67, "","") &amp; "",""))"),"P4,")</f>
        <v>P4,</v>
      </c>
      <c r="J67" s="54" t="str">
        <f>IFERROR(__xludf.DUMMYFUNCTION("ArrayFormula(textjoin("", "",true,unique(trim(split(M67,"","")),true)))"),"4")</f>
        <v>4</v>
      </c>
      <c r="K67" s="65"/>
      <c r="L67" s="65"/>
      <c r="M67" s="54" t="str">
        <f t="shared" si="2"/>
        <v>04</v>
      </c>
      <c r="N67" s="71">
        <f>IFERROR(__xludf.DUMMYFUNCTION("countunique(split(M67, "", ""))"),1.0)</f>
        <v>1</v>
      </c>
      <c r="O67" s="71">
        <f>IFERROR(__xludf.DUMMYFUNCTION("countif(split(K67,"",""),C67)"),0.0)</f>
        <v>0</v>
      </c>
      <c r="P67" s="55" t="b">
        <f>IFERROR(__xludf.DUMMYFUNCTION("MIN(split(J67,"",""))&lt;=7"),TRUE)</f>
        <v>1</v>
      </c>
      <c r="Q67" s="55" t="b">
        <f>IFERROR(__xludf.DUMMYFUNCTION("max(split(J67,"",""))&gt;=8"),FALSE)</f>
        <v>0</v>
      </c>
      <c r="R67" s="55" t="b">
        <f t="shared" si="3"/>
        <v>0</v>
      </c>
      <c r="S67" s="2"/>
    </row>
    <row r="68">
      <c r="A68" s="65" t="s">
        <v>2985</v>
      </c>
      <c r="B68" s="42">
        <v>75.0</v>
      </c>
      <c r="C68" s="48" t="s">
        <v>3246</v>
      </c>
      <c r="D68" s="2" t="s">
        <v>19</v>
      </c>
      <c r="E68" s="70" t="s">
        <v>3980</v>
      </c>
      <c r="F68" s="42" t="s">
        <v>3981</v>
      </c>
      <c r="G68" s="2" t="s">
        <v>2199</v>
      </c>
      <c r="H68" s="54" t="str">
        <f t="shared" si="1"/>
        <v>(P4,P5)</v>
      </c>
      <c r="I68" s="54" t="str">
        <f>IFERROR(__xludf.DUMMYFUNCTION("concatenate(ARRAYFORMULA(""P"" &amp; SPLIT(J68, "","") &amp; "",""))"),"P4,P5,")</f>
        <v>P4,P5,</v>
      </c>
      <c r="J68" s="54" t="str">
        <f>IFERROR(__xludf.DUMMYFUNCTION("ArrayFormula(textjoin("", "",true,unique(trim(split(M68,"","")),true)))"),"4, 5")</f>
        <v>4, 5</v>
      </c>
      <c r="K68" s="65" t="s">
        <v>3282</v>
      </c>
      <c r="L68" s="65" t="s">
        <v>3002</v>
      </c>
      <c r="M68" s="54" t="str">
        <f t="shared" si="2"/>
        <v>04, 05</v>
      </c>
      <c r="N68" s="71">
        <f>IFERROR(__xludf.DUMMYFUNCTION("countunique(split(M68, "", ""))"),2.0)</f>
        <v>2</v>
      </c>
      <c r="O68" s="71">
        <f>IFERROR(__xludf.DUMMYFUNCTION("countif(split(K68,"",""),C68)"),0.0)</f>
        <v>0</v>
      </c>
      <c r="P68" s="55" t="b">
        <f>IFERROR(__xludf.DUMMYFUNCTION("MIN(split(J68,"",""))&lt;=7"),TRUE)</f>
        <v>1</v>
      </c>
      <c r="Q68" s="55" t="b">
        <f>IFERROR(__xludf.DUMMYFUNCTION("max(split(J68,"",""))&gt;=8"),FALSE)</f>
        <v>0</v>
      </c>
      <c r="R68" s="55" t="b">
        <f t="shared" si="3"/>
        <v>0</v>
      </c>
      <c r="S68" s="2"/>
    </row>
    <row r="69">
      <c r="A69" s="65" t="s">
        <v>2991</v>
      </c>
      <c r="B69" s="2">
        <v>76.0</v>
      </c>
      <c r="C69" s="69" t="s">
        <v>3282</v>
      </c>
      <c r="D69" s="2" t="s">
        <v>19</v>
      </c>
      <c r="E69" s="70" t="s">
        <v>3982</v>
      </c>
      <c r="F69" s="42" t="s">
        <v>3983</v>
      </c>
      <c r="G69" s="2" t="s">
        <v>3984</v>
      </c>
      <c r="H69" s="54" t="str">
        <f t="shared" si="1"/>
        <v>(P5)</v>
      </c>
      <c r="I69" s="54" t="str">
        <f>IFERROR(__xludf.DUMMYFUNCTION("concatenate(ARRAYFORMULA(""P"" &amp; SPLIT(J69, "","") &amp; "",""))"),"P5,")</f>
        <v>P5,</v>
      </c>
      <c r="J69" s="54" t="str">
        <f>IFERROR(__xludf.DUMMYFUNCTION("ArrayFormula(textjoin("", "",true,unique(trim(split(M69,"","")),true)))"),"5")</f>
        <v>5</v>
      </c>
      <c r="K69" s="65" t="s">
        <v>3282</v>
      </c>
      <c r="L69" s="65" t="s">
        <v>2999</v>
      </c>
      <c r="M69" s="54" t="str">
        <f t="shared" si="2"/>
        <v>05, 05</v>
      </c>
      <c r="N69" s="71">
        <f>IFERROR(__xludf.DUMMYFUNCTION("countunique(split(M69, "", ""))"),1.0)</f>
        <v>1</v>
      </c>
      <c r="O69" s="71">
        <f>IFERROR(__xludf.DUMMYFUNCTION("countif(split(K69,"",""),C69)"),1.0)</f>
        <v>1</v>
      </c>
      <c r="P69" s="55" t="b">
        <f>IFERROR(__xludf.DUMMYFUNCTION("MIN(split(J69,"",""))&lt;=7"),TRUE)</f>
        <v>1</v>
      </c>
      <c r="Q69" s="55" t="b">
        <f>IFERROR(__xludf.DUMMYFUNCTION("max(split(J69,"",""))&gt;=8"),FALSE)</f>
        <v>0</v>
      </c>
      <c r="R69" s="55" t="b">
        <f t="shared" si="3"/>
        <v>0</v>
      </c>
      <c r="S69" s="2"/>
    </row>
    <row r="70">
      <c r="A70" s="65" t="s">
        <v>2993</v>
      </c>
      <c r="B70" s="42">
        <v>77.0</v>
      </c>
      <c r="C70" s="69" t="s">
        <v>3282</v>
      </c>
      <c r="D70" s="2" t="s">
        <v>19</v>
      </c>
      <c r="E70" s="70" t="s">
        <v>3471</v>
      </c>
      <c r="F70" s="42" t="s">
        <v>2215</v>
      </c>
      <c r="G70" s="2"/>
      <c r="H70" s="54" t="str">
        <f t="shared" si="1"/>
        <v>(P5)</v>
      </c>
      <c r="I70" s="54" t="str">
        <f>IFERROR(__xludf.DUMMYFUNCTION("concatenate(ARRAYFORMULA(""P"" &amp; SPLIT(J70, "","") &amp; "",""))"),"P5,")</f>
        <v>P5,</v>
      </c>
      <c r="J70" s="54" t="str">
        <f>IFERROR(__xludf.DUMMYFUNCTION("ArrayFormula(textjoin("", "",true,unique(trim(split(M70,"","")),true)))"),"5")</f>
        <v>5</v>
      </c>
      <c r="K70" s="65"/>
      <c r="L70" s="65"/>
      <c r="M70" s="54" t="str">
        <f t="shared" si="2"/>
        <v>05</v>
      </c>
      <c r="N70" s="71">
        <f>IFERROR(__xludf.DUMMYFUNCTION("countunique(split(M70, "", ""))"),1.0)</f>
        <v>1</v>
      </c>
      <c r="O70" s="71">
        <f>IFERROR(__xludf.DUMMYFUNCTION("countif(split(K70,"",""),C70)"),0.0)</f>
        <v>0</v>
      </c>
      <c r="P70" s="55" t="b">
        <f>IFERROR(__xludf.DUMMYFUNCTION("MIN(split(J70,"",""))&lt;=7"),TRUE)</f>
        <v>1</v>
      </c>
      <c r="Q70" s="55" t="b">
        <f>IFERROR(__xludf.DUMMYFUNCTION("max(split(J70,"",""))&gt;=8"),FALSE)</f>
        <v>0</v>
      </c>
      <c r="R70" s="55" t="b">
        <f t="shared" si="3"/>
        <v>0</v>
      </c>
      <c r="S70" s="42" t="s">
        <v>3985</v>
      </c>
    </row>
    <row r="71">
      <c r="A71" s="65" t="s">
        <v>2995</v>
      </c>
      <c r="B71" s="2">
        <v>78.0</v>
      </c>
      <c r="C71" s="48" t="s">
        <v>3282</v>
      </c>
      <c r="D71" s="2" t="s">
        <v>19</v>
      </c>
      <c r="E71" s="70" t="s">
        <v>3986</v>
      </c>
      <c r="F71" s="42" t="s">
        <v>3987</v>
      </c>
      <c r="G71" s="2" t="s">
        <v>3988</v>
      </c>
      <c r="H71" s="54" t="str">
        <f t="shared" si="1"/>
        <v>(P5,P7)</v>
      </c>
      <c r="I71" s="54" t="str">
        <f>IFERROR(__xludf.DUMMYFUNCTION("concatenate(ARRAYFORMULA(""P"" &amp; SPLIT(J71, "","") &amp; "",""))"),"P5,P7,")</f>
        <v>P5,P7,</v>
      </c>
      <c r="J71" s="54" t="str">
        <f>IFERROR(__xludf.DUMMYFUNCTION("ArrayFormula(textjoin("", "",true,unique(trim(split(M71,"","")),true)))"),"5, 7")</f>
        <v>5, 7</v>
      </c>
      <c r="K71" s="65" t="s">
        <v>3989</v>
      </c>
      <c r="L71" s="65" t="s">
        <v>3990</v>
      </c>
      <c r="M71" s="54" t="str">
        <f t="shared" si="2"/>
        <v>05, 05, 07</v>
      </c>
      <c r="N71" s="71">
        <f>IFERROR(__xludf.DUMMYFUNCTION("countunique(split(M71, "", ""))"),2.0)</f>
        <v>2</v>
      </c>
      <c r="O71" s="71">
        <f>IFERROR(__xludf.DUMMYFUNCTION("countif(split(K71,"",""),C71)"),1.0)</f>
        <v>1</v>
      </c>
      <c r="P71" s="55" t="b">
        <f>IFERROR(__xludf.DUMMYFUNCTION("MIN(split(J71,"",""))&lt;=7"),TRUE)</f>
        <v>1</v>
      </c>
      <c r="Q71" s="55" t="b">
        <f>IFERROR(__xludf.DUMMYFUNCTION("max(split(J71,"",""))&gt;=8"),FALSE)</f>
        <v>0</v>
      </c>
      <c r="R71" s="55" t="b">
        <f t="shared" si="3"/>
        <v>0</v>
      </c>
      <c r="S71" s="2"/>
    </row>
    <row r="72">
      <c r="A72" s="65" t="s">
        <v>2997</v>
      </c>
      <c r="B72" s="42">
        <v>79.0</v>
      </c>
      <c r="C72" s="48" t="s">
        <v>3282</v>
      </c>
      <c r="D72" s="2" t="s">
        <v>19</v>
      </c>
      <c r="E72" s="70" t="s">
        <v>3991</v>
      </c>
      <c r="F72" s="42" t="s">
        <v>3992</v>
      </c>
      <c r="G72" s="2" t="s">
        <v>2222</v>
      </c>
      <c r="H72" s="54" t="str">
        <f t="shared" si="1"/>
        <v>(P5)</v>
      </c>
      <c r="I72" s="54" t="str">
        <f>IFERROR(__xludf.DUMMYFUNCTION("concatenate(ARRAYFORMULA(""P"" &amp; SPLIT(J72, "","") &amp; "",""))"),"P5,")</f>
        <v>P5,</v>
      </c>
      <c r="J72" s="54" t="str">
        <f>IFERROR(__xludf.DUMMYFUNCTION("ArrayFormula(textjoin("", "",true,unique(trim(split(M72,"","")),true)))"),"5")</f>
        <v>5</v>
      </c>
      <c r="K72" s="65" t="s">
        <v>3282</v>
      </c>
      <c r="L72" s="65" t="s">
        <v>3000</v>
      </c>
      <c r="M72" s="54" t="str">
        <f t="shared" si="2"/>
        <v>05, 05</v>
      </c>
      <c r="N72" s="71">
        <f>IFERROR(__xludf.DUMMYFUNCTION("countunique(split(M72, "", ""))"),1.0)</f>
        <v>1</v>
      </c>
      <c r="O72" s="71">
        <f>IFERROR(__xludf.DUMMYFUNCTION("countif(split(K72,"",""),C72)"),1.0)</f>
        <v>1</v>
      </c>
      <c r="P72" s="55" t="b">
        <f>IFERROR(__xludf.DUMMYFUNCTION("MIN(split(J72,"",""))&lt;=7"),TRUE)</f>
        <v>1</v>
      </c>
      <c r="Q72" s="55" t="b">
        <f>IFERROR(__xludf.DUMMYFUNCTION("max(split(J72,"",""))&gt;=8"),FALSE)</f>
        <v>0</v>
      </c>
      <c r="R72" s="55" t="b">
        <f t="shared" si="3"/>
        <v>0</v>
      </c>
      <c r="S72" s="2"/>
    </row>
    <row r="73">
      <c r="A73" s="65" t="s">
        <v>3003</v>
      </c>
      <c r="B73" s="2">
        <v>80.0</v>
      </c>
      <c r="C73" s="48" t="s">
        <v>3282</v>
      </c>
      <c r="D73" s="2" t="s">
        <v>19</v>
      </c>
      <c r="E73" s="70" t="s">
        <v>3993</v>
      </c>
      <c r="F73" s="42" t="s">
        <v>3994</v>
      </c>
      <c r="G73" s="2" t="s">
        <v>2237</v>
      </c>
      <c r="H73" s="54" t="str">
        <f t="shared" si="1"/>
        <v>(P5,P10)</v>
      </c>
      <c r="I73" s="54" t="str">
        <f>IFERROR(__xludf.DUMMYFUNCTION("concatenate(ARRAYFORMULA(""P"" &amp; SPLIT(J73, "","") &amp; "",""))"),"P5,P10,")</f>
        <v>P5,P10,</v>
      </c>
      <c r="J73" s="54" t="str">
        <f>IFERROR(__xludf.DUMMYFUNCTION("ArrayFormula(textjoin("", "",true,unique(trim(split(M73,"","")),true)))"),"5, 10")</f>
        <v>5, 10</v>
      </c>
      <c r="K73" s="65" t="s">
        <v>3995</v>
      </c>
      <c r="L73" s="65" t="s">
        <v>3587</v>
      </c>
      <c r="M73" s="54" t="str">
        <f t="shared" si="2"/>
        <v>05, 10</v>
      </c>
      <c r="N73" s="71">
        <f>IFERROR(__xludf.DUMMYFUNCTION("countunique(split(M73, "", ""))"),2.0)</f>
        <v>2</v>
      </c>
      <c r="O73" s="71">
        <f>IFERROR(__xludf.DUMMYFUNCTION("countif(split(K73,"",""),C73)"),0.0)</f>
        <v>0</v>
      </c>
      <c r="P73" s="55" t="b">
        <f>IFERROR(__xludf.DUMMYFUNCTION("MIN(split(J73,"",""))&lt;=7"),TRUE)</f>
        <v>1</v>
      </c>
      <c r="Q73" s="55" t="b">
        <f>IFERROR(__xludf.DUMMYFUNCTION("max(split(J73,"",""))&gt;=8"),TRUE)</f>
        <v>1</v>
      </c>
      <c r="R73" s="55" t="b">
        <f t="shared" si="3"/>
        <v>1</v>
      </c>
      <c r="S73" s="2"/>
    </row>
    <row r="74">
      <c r="A74" s="65" t="s">
        <v>3006</v>
      </c>
      <c r="B74" s="42">
        <v>81.0</v>
      </c>
      <c r="C74" s="48" t="s">
        <v>3282</v>
      </c>
      <c r="D74" s="2" t="s">
        <v>19</v>
      </c>
      <c r="E74" s="70" t="s">
        <v>3996</v>
      </c>
      <c r="F74" s="42" t="s">
        <v>3997</v>
      </c>
      <c r="G74" s="2" t="s">
        <v>3998</v>
      </c>
      <c r="H74" s="54" t="str">
        <f t="shared" si="1"/>
        <v>(P5,P8,P9,P10)</v>
      </c>
      <c r="I74" s="54" t="str">
        <f>IFERROR(__xludf.DUMMYFUNCTION("concatenate(ARRAYFORMULA(""P"" &amp; SPLIT(J74, "","") &amp; "",""))"),"P5,P8,P9,P10,")</f>
        <v>P5,P8,P9,P10,</v>
      </c>
      <c r="J74" s="54" t="str">
        <f>IFERROR(__xludf.DUMMYFUNCTION("ArrayFormula(textjoin("", "",true,unique(trim(split(M74,"","")),true)))"),"5, 8, 9, 10")</f>
        <v>5, 8, 9, 10</v>
      </c>
      <c r="K74" s="65" t="s">
        <v>3999</v>
      </c>
      <c r="L74" s="65" t="s">
        <v>4000</v>
      </c>
      <c r="M74" s="54" t="str">
        <f t="shared" si="2"/>
        <v>05, 08, 09, 10</v>
      </c>
      <c r="N74" s="71">
        <f>IFERROR(__xludf.DUMMYFUNCTION("countunique(split(M74, "", ""))"),4.0)</f>
        <v>4</v>
      </c>
      <c r="O74" s="71">
        <f>IFERROR(__xludf.DUMMYFUNCTION("countif(split(K74,"",""),C74)"),0.0)</f>
        <v>0</v>
      </c>
      <c r="P74" s="55" t="b">
        <f>IFERROR(__xludf.DUMMYFUNCTION("MIN(split(J74,"",""))&lt;=7"),TRUE)</f>
        <v>1</v>
      </c>
      <c r="Q74" s="55" t="b">
        <f>IFERROR(__xludf.DUMMYFUNCTION("max(split(J74,"",""))&gt;=8"),TRUE)</f>
        <v>1</v>
      </c>
      <c r="R74" s="55" t="b">
        <f t="shared" si="3"/>
        <v>1</v>
      </c>
      <c r="S74" s="2"/>
    </row>
    <row r="75">
      <c r="A75" s="65" t="s">
        <v>3008</v>
      </c>
      <c r="B75" s="2">
        <v>82.0</v>
      </c>
      <c r="C75" s="48" t="s">
        <v>3282</v>
      </c>
      <c r="D75" s="2" t="s">
        <v>19</v>
      </c>
      <c r="E75" s="70" t="s">
        <v>4001</v>
      </c>
      <c r="F75" s="42" t="s">
        <v>2247</v>
      </c>
      <c r="G75" s="2"/>
      <c r="H75" s="54" t="str">
        <f t="shared" si="1"/>
        <v>(P5)</v>
      </c>
      <c r="I75" s="54" t="str">
        <f>IFERROR(__xludf.DUMMYFUNCTION("concatenate(ARRAYFORMULA(""P"" &amp; SPLIT(J75, "","") &amp; "",""))"),"P5,")</f>
        <v>P5,</v>
      </c>
      <c r="J75" s="54" t="str">
        <f>IFERROR(__xludf.DUMMYFUNCTION("ArrayFormula(textjoin("", "",true,unique(trim(split(M75,"","")),true)))"),"5")</f>
        <v>5</v>
      </c>
      <c r="K75" s="65"/>
      <c r="L75" s="65"/>
      <c r="M75" s="54" t="str">
        <f t="shared" si="2"/>
        <v>05</v>
      </c>
      <c r="N75" s="71">
        <f>IFERROR(__xludf.DUMMYFUNCTION("countunique(split(M75, "", ""))"),1.0)</f>
        <v>1</v>
      </c>
      <c r="O75" s="71">
        <f>IFERROR(__xludf.DUMMYFUNCTION("countif(split(K75,"",""),C75)"),0.0)</f>
        <v>0</v>
      </c>
      <c r="P75" s="55" t="b">
        <f>IFERROR(__xludf.DUMMYFUNCTION("MIN(split(J75,"",""))&lt;=7"),TRUE)</f>
        <v>1</v>
      </c>
      <c r="Q75" s="55" t="b">
        <f>IFERROR(__xludf.DUMMYFUNCTION("max(split(J75,"",""))&gt;=8"),FALSE)</f>
        <v>0</v>
      </c>
      <c r="R75" s="55" t="b">
        <f t="shared" si="3"/>
        <v>0</v>
      </c>
      <c r="S75" s="2"/>
    </row>
    <row r="76">
      <c r="A76" s="65" t="s">
        <v>3010</v>
      </c>
      <c r="B76" s="42">
        <v>83.0</v>
      </c>
      <c r="C76" s="48" t="s">
        <v>3282</v>
      </c>
      <c r="D76" s="2" t="s">
        <v>19</v>
      </c>
      <c r="E76" s="70" t="s">
        <v>4002</v>
      </c>
      <c r="F76" s="2" t="s">
        <v>4003</v>
      </c>
      <c r="G76" s="2" t="s">
        <v>4004</v>
      </c>
      <c r="H76" s="54" t="str">
        <f t="shared" si="1"/>
        <v>(P5,P8,P12,P13,P14)</v>
      </c>
      <c r="I76" s="54" t="str">
        <f>IFERROR(__xludf.DUMMYFUNCTION("concatenate(ARRAYFORMULA(""P"" &amp; SPLIT(J76, "","") &amp; "",""))"),"P5,P8,P12,P13,P14,")</f>
        <v>P5,P8,P12,P13,P14,</v>
      </c>
      <c r="J76" s="54" t="str">
        <f>IFERROR(__xludf.DUMMYFUNCTION("ArrayFormula(textjoin("", "",true,unique(trim(split(M76,"","")),true)))"),"5, 8, 12, 13, 14")</f>
        <v>5, 8, 12, 13, 14</v>
      </c>
      <c r="K76" s="65" t="s">
        <v>4005</v>
      </c>
      <c r="L76" s="65" t="s">
        <v>4006</v>
      </c>
      <c r="M76" s="54" t="str">
        <f t="shared" si="2"/>
        <v>05, 08, 12, 13, 14</v>
      </c>
      <c r="N76" s="71">
        <f>IFERROR(__xludf.DUMMYFUNCTION("countunique(split(M76, "", ""))"),5.0)</f>
        <v>5</v>
      </c>
      <c r="O76" s="71">
        <f>IFERROR(__xludf.DUMMYFUNCTION("countif(split(K76,"",""),C76)"),0.0)</f>
        <v>0</v>
      </c>
      <c r="P76" s="55" t="b">
        <f>IFERROR(__xludf.DUMMYFUNCTION("MIN(split(J76,"",""))&lt;=7"),TRUE)</f>
        <v>1</v>
      </c>
      <c r="Q76" s="55" t="b">
        <f>IFERROR(__xludf.DUMMYFUNCTION("max(split(J76,"",""))&gt;=8"),TRUE)</f>
        <v>1</v>
      </c>
      <c r="R76" s="55" t="b">
        <f t="shared" si="3"/>
        <v>1</v>
      </c>
      <c r="S76" s="2"/>
    </row>
    <row r="77">
      <c r="A77" s="65" t="s">
        <v>3013</v>
      </c>
      <c r="B77" s="2">
        <v>84.0</v>
      </c>
      <c r="C77" s="48" t="s">
        <v>3282</v>
      </c>
      <c r="D77" s="42" t="s">
        <v>19</v>
      </c>
      <c r="E77" s="75" t="s">
        <v>3483</v>
      </c>
      <c r="F77" s="42" t="s">
        <v>2254</v>
      </c>
      <c r="G77" s="42"/>
      <c r="H77" s="54" t="str">
        <f t="shared" si="1"/>
        <v>(P5)</v>
      </c>
      <c r="I77" s="54" t="str">
        <f>IFERROR(__xludf.DUMMYFUNCTION("concatenate(ARRAYFORMULA(""P"" &amp; SPLIT(J77, "","") &amp; "",""))"),"P5,")</f>
        <v>P5,</v>
      </c>
      <c r="J77" s="54" t="str">
        <f>IFERROR(__xludf.DUMMYFUNCTION("ArrayFormula(textjoin("", "",true,unique(trim(split(M77,"","")),true)))"),"5")</f>
        <v>5</v>
      </c>
      <c r="K77" s="65"/>
      <c r="L77" s="65"/>
      <c r="M77" s="54" t="str">
        <f t="shared" si="2"/>
        <v>05</v>
      </c>
      <c r="N77" s="71">
        <f>IFERROR(__xludf.DUMMYFUNCTION("countunique(split(M77, "", ""))"),1.0)</f>
        <v>1</v>
      </c>
      <c r="O77" s="71">
        <f>IFERROR(__xludf.DUMMYFUNCTION("countif(split(K77,"",""),C77)"),0.0)</f>
        <v>0</v>
      </c>
      <c r="P77" s="55" t="b">
        <f>IFERROR(__xludf.DUMMYFUNCTION("MIN(split(J77,"",""))&lt;=7"),TRUE)</f>
        <v>1</v>
      </c>
      <c r="Q77" s="55" t="b">
        <f>IFERROR(__xludf.DUMMYFUNCTION("max(split(J77,"",""))&gt;=8"),FALSE)</f>
        <v>0</v>
      </c>
      <c r="R77" s="55" t="b">
        <f t="shared" si="3"/>
        <v>0</v>
      </c>
      <c r="S77" s="42"/>
    </row>
    <row r="78">
      <c r="A78" s="65" t="s">
        <v>3015</v>
      </c>
      <c r="B78" s="42">
        <v>85.0</v>
      </c>
      <c r="C78" s="48" t="s">
        <v>3282</v>
      </c>
      <c r="D78" s="42" t="s">
        <v>19</v>
      </c>
      <c r="E78" s="75" t="s">
        <v>4007</v>
      </c>
      <c r="F78" s="2" t="s">
        <v>4008</v>
      </c>
      <c r="G78" s="42" t="s">
        <v>1611</v>
      </c>
      <c r="H78" s="54" t="str">
        <f t="shared" si="1"/>
        <v>(P5,P9)</v>
      </c>
      <c r="I78" s="54" t="str">
        <f>IFERROR(__xludf.DUMMYFUNCTION("concatenate(ARRAYFORMULA(""P"" &amp; SPLIT(J78, "","") &amp; "",""))"),"P5,P9,")</f>
        <v>P5,P9,</v>
      </c>
      <c r="J78" s="54" t="str">
        <f>IFERROR(__xludf.DUMMYFUNCTION("ArrayFormula(textjoin("", "",true,unique(trim(split(M78,"","")),true)))"),"5, 9")</f>
        <v>5, 9</v>
      </c>
      <c r="K78" s="65" t="s">
        <v>3266</v>
      </c>
      <c r="L78" s="65" t="s">
        <v>3155</v>
      </c>
      <c r="M78" s="54" t="str">
        <f t="shared" si="2"/>
        <v>05, 09</v>
      </c>
      <c r="N78" s="71">
        <f>IFERROR(__xludf.DUMMYFUNCTION("countunique(split(M78, "", ""))"),2.0)</f>
        <v>2</v>
      </c>
      <c r="O78" s="71">
        <f>IFERROR(__xludf.DUMMYFUNCTION("countif(split(K78,"",""),C78)"),0.0)</f>
        <v>0</v>
      </c>
      <c r="P78" s="55" t="b">
        <f>IFERROR(__xludf.DUMMYFUNCTION("MIN(split(J78,"",""))&lt;=7"),TRUE)</f>
        <v>1</v>
      </c>
      <c r="Q78" s="55" t="b">
        <f>IFERROR(__xludf.DUMMYFUNCTION("max(split(J78,"",""))&gt;=8"),TRUE)</f>
        <v>1</v>
      </c>
      <c r="R78" s="55" t="b">
        <f t="shared" si="3"/>
        <v>1</v>
      </c>
      <c r="S78" s="42"/>
    </row>
    <row r="79">
      <c r="A79" s="65" t="s">
        <v>3017</v>
      </c>
      <c r="B79" s="2">
        <v>86.0</v>
      </c>
      <c r="C79" s="48" t="s">
        <v>3282</v>
      </c>
      <c r="D79" s="42" t="s">
        <v>19</v>
      </c>
      <c r="E79" s="75" t="s">
        <v>4009</v>
      </c>
      <c r="F79" s="42" t="s">
        <v>4010</v>
      </c>
      <c r="G79" s="42" t="s">
        <v>4011</v>
      </c>
      <c r="H79" s="54" t="str">
        <f t="shared" si="1"/>
        <v>(P5,P8,P9)</v>
      </c>
      <c r="I79" s="54" t="str">
        <f>IFERROR(__xludf.DUMMYFUNCTION("concatenate(ARRAYFORMULA(""P"" &amp; SPLIT(J79, "","") &amp; "",""))"),"P5,P8,P9,")</f>
        <v>P5,P8,P9,</v>
      </c>
      <c r="J79" s="54" t="str">
        <f>IFERROR(__xludf.DUMMYFUNCTION("ArrayFormula(textjoin("", "",true,unique(trim(split(M79,"","")),true)))"),"5, 8, 9")</f>
        <v>5, 8, 9</v>
      </c>
      <c r="K79" s="65" t="s">
        <v>4012</v>
      </c>
      <c r="L79" s="65" t="s">
        <v>4013</v>
      </c>
      <c r="M79" s="54" t="str">
        <f t="shared" si="2"/>
        <v>05, 08,09</v>
      </c>
      <c r="N79" s="71">
        <f>IFERROR(__xludf.DUMMYFUNCTION("countunique(split(M79, "", ""))"),3.0)</f>
        <v>3</v>
      </c>
      <c r="O79" s="71">
        <f>IFERROR(__xludf.DUMMYFUNCTION("countif(split(K79,"",""),C79)"),0.0)</f>
        <v>0</v>
      </c>
      <c r="P79" s="55" t="b">
        <f>IFERROR(__xludf.DUMMYFUNCTION("MIN(split(J79,"",""))&lt;=7"),TRUE)</f>
        <v>1</v>
      </c>
      <c r="Q79" s="55" t="b">
        <f>IFERROR(__xludf.DUMMYFUNCTION("max(split(J79,"",""))&gt;=8"),TRUE)</f>
        <v>1</v>
      </c>
      <c r="R79" s="55" t="b">
        <f t="shared" si="3"/>
        <v>1</v>
      </c>
      <c r="S79" s="42"/>
    </row>
    <row r="80">
      <c r="A80" s="65" t="s">
        <v>3019</v>
      </c>
      <c r="B80" s="42">
        <v>87.0</v>
      </c>
      <c r="C80" s="48" t="s">
        <v>3282</v>
      </c>
      <c r="D80" s="42" t="s">
        <v>19</v>
      </c>
      <c r="E80" s="75" t="s">
        <v>3488</v>
      </c>
      <c r="F80" s="42" t="s">
        <v>2267</v>
      </c>
      <c r="G80" s="42"/>
      <c r="H80" s="54" t="str">
        <f t="shared" si="1"/>
        <v>(P5)</v>
      </c>
      <c r="I80" s="54" t="str">
        <f>IFERROR(__xludf.DUMMYFUNCTION("concatenate(ARRAYFORMULA(""P"" &amp; SPLIT(J80, "","") &amp; "",""))"),"P5,")</f>
        <v>P5,</v>
      </c>
      <c r="J80" s="54" t="str">
        <f>IFERROR(__xludf.DUMMYFUNCTION("ArrayFormula(textjoin("", "",true,unique(trim(split(M80,"","")),true)))"),"5")</f>
        <v>5</v>
      </c>
      <c r="K80" s="65"/>
      <c r="L80" s="65"/>
      <c r="M80" s="54" t="str">
        <f t="shared" si="2"/>
        <v>05</v>
      </c>
      <c r="N80" s="71">
        <f>IFERROR(__xludf.DUMMYFUNCTION("countunique(split(M80, "", ""))"),1.0)</f>
        <v>1</v>
      </c>
      <c r="O80" s="71">
        <f>IFERROR(__xludf.DUMMYFUNCTION("countif(split(K80,"",""),C80)"),0.0)</f>
        <v>0</v>
      </c>
      <c r="P80" s="55" t="b">
        <f>IFERROR(__xludf.DUMMYFUNCTION("MIN(split(J80,"",""))&lt;=7"),TRUE)</f>
        <v>1</v>
      </c>
      <c r="Q80" s="55" t="b">
        <f>IFERROR(__xludf.DUMMYFUNCTION("max(split(J80,"",""))&gt;=8"),FALSE)</f>
        <v>0</v>
      </c>
      <c r="R80" s="55" t="b">
        <f t="shared" si="3"/>
        <v>0</v>
      </c>
      <c r="S80" s="42"/>
    </row>
    <row r="81">
      <c r="A81" s="65" t="s">
        <v>3021</v>
      </c>
      <c r="B81" s="2">
        <v>88.0</v>
      </c>
      <c r="C81" s="48" t="s">
        <v>3282</v>
      </c>
      <c r="D81" s="42" t="s">
        <v>19</v>
      </c>
      <c r="E81" s="75" t="s">
        <v>4014</v>
      </c>
      <c r="F81" s="42" t="s">
        <v>4015</v>
      </c>
      <c r="G81" s="42" t="s">
        <v>2271</v>
      </c>
      <c r="H81" s="54" t="str">
        <f t="shared" si="1"/>
        <v>(P5,P13)</v>
      </c>
      <c r="I81" s="54" t="str">
        <f>IFERROR(__xludf.DUMMYFUNCTION("concatenate(ARRAYFORMULA(""P"" &amp; SPLIT(J81, "","") &amp; "",""))"),"P5,P13,")</f>
        <v>P5,P13,</v>
      </c>
      <c r="J81" s="54" t="str">
        <f>IFERROR(__xludf.DUMMYFUNCTION("ArrayFormula(textjoin("", "",true,unique(trim(split(M81,"","")),true)))"),"5, 13")</f>
        <v>5, 13</v>
      </c>
      <c r="K81" s="65" t="s">
        <v>4016</v>
      </c>
      <c r="L81" s="65" t="s">
        <v>3790</v>
      </c>
      <c r="M81" s="54" t="str">
        <f t="shared" si="2"/>
        <v>05, 13</v>
      </c>
      <c r="N81" s="71">
        <f>IFERROR(__xludf.DUMMYFUNCTION("countunique(split(M81, "", ""))"),2.0)</f>
        <v>2</v>
      </c>
      <c r="O81" s="71">
        <f>IFERROR(__xludf.DUMMYFUNCTION("countif(split(K81,"",""),C81)"),0.0)</f>
        <v>0</v>
      </c>
      <c r="P81" s="55" t="b">
        <f>IFERROR(__xludf.DUMMYFUNCTION("MIN(split(J81,"",""))&lt;=7"),TRUE)</f>
        <v>1</v>
      </c>
      <c r="Q81" s="55" t="b">
        <f>IFERROR(__xludf.DUMMYFUNCTION("max(split(J81,"",""))&gt;=8"),TRUE)</f>
        <v>1</v>
      </c>
      <c r="R81" s="55" t="b">
        <f t="shared" si="3"/>
        <v>1</v>
      </c>
      <c r="S81" s="42"/>
    </row>
    <row r="82">
      <c r="A82" s="65" t="s">
        <v>3023</v>
      </c>
      <c r="B82" s="42">
        <v>89.0</v>
      </c>
      <c r="C82" s="81" t="s">
        <v>3318</v>
      </c>
      <c r="D82" s="42" t="s">
        <v>19</v>
      </c>
      <c r="E82" s="75" t="s">
        <v>3490</v>
      </c>
      <c r="F82" s="42" t="s">
        <v>2283</v>
      </c>
      <c r="G82" s="42"/>
      <c r="H82" s="54" t="str">
        <f t="shared" si="1"/>
        <v>(P6)</v>
      </c>
      <c r="I82" s="54" t="str">
        <f>IFERROR(__xludf.DUMMYFUNCTION("concatenate(ARRAYFORMULA(""P"" &amp; SPLIT(J82, "","") &amp; "",""))"),"P6,")</f>
        <v>P6,</v>
      </c>
      <c r="J82" s="54" t="str">
        <f>IFERROR(__xludf.DUMMYFUNCTION("ArrayFormula(textjoin("", "",true,unique(trim(split(M82,"","")),true)))"),"6")</f>
        <v>6</v>
      </c>
      <c r="K82" s="65"/>
      <c r="L82" s="65"/>
      <c r="M82" s="54" t="str">
        <f t="shared" si="2"/>
        <v>06</v>
      </c>
      <c r="N82" s="71">
        <f>IFERROR(__xludf.DUMMYFUNCTION("countunique(split(M82, "", ""))"),1.0)</f>
        <v>1</v>
      </c>
      <c r="O82" s="71">
        <f>IFERROR(__xludf.DUMMYFUNCTION("countif(split(K82,"",""),C82)"),0.0)</f>
        <v>0</v>
      </c>
      <c r="P82" s="55" t="b">
        <f>IFERROR(__xludf.DUMMYFUNCTION("MIN(split(J82,"",""))&lt;=7"),TRUE)</f>
        <v>1</v>
      </c>
      <c r="Q82" s="55" t="b">
        <f>IFERROR(__xludf.DUMMYFUNCTION("max(split(J82,"",""))&gt;=8"),FALSE)</f>
        <v>0</v>
      </c>
      <c r="R82" s="55" t="b">
        <f t="shared" si="3"/>
        <v>0</v>
      </c>
      <c r="S82" s="42"/>
    </row>
    <row r="83">
      <c r="A83" s="65" t="s">
        <v>3025</v>
      </c>
      <c r="B83" s="2">
        <v>90.0</v>
      </c>
      <c r="C83" s="81" t="s">
        <v>3318</v>
      </c>
      <c r="D83" s="42" t="s">
        <v>19</v>
      </c>
      <c r="E83" s="75" t="s">
        <v>3491</v>
      </c>
      <c r="F83" s="42" t="s">
        <v>2288</v>
      </c>
      <c r="G83" s="42"/>
      <c r="H83" s="54" t="str">
        <f t="shared" si="1"/>
        <v>(P6)</v>
      </c>
      <c r="I83" s="54" t="str">
        <f>IFERROR(__xludf.DUMMYFUNCTION("concatenate(ARRAYFORMULA(""P"" &amp; SPLIT(J83, "","") &amp; "",""))"),"P6,")</f>
        <v>P6,</v>
      </c>
      <c r="J83" s="54" t="str">
        <f>IFERROR(__xludf.DUMMYFUNCTION("ArrayFormula(textjoin("", "",true,unique(trim(split(M83,"","")),true)))"),"6")</f>
        <v>6</v>
      </c>
      <c r="K83" s="65"/>
      <c r="L83" s="65"/>
      <c r="M83" s="54" t="str">
        <f t="shared" si="2"/>
        <v>06</v>
      </c>
      <c r="N83" s="71">
        <f>IFERROR(__xludf.DUMMYFUNCTION("countunique(split(M83, "", ""))"),1.0)</f>
        <v>1</v>
      </c>
      <c r="O83" s="71">
        <f>IFERROR(__xludf.DUMMYFUNCTION("countif(split(K83,"",""),C83)"),0.0)</f>
        <v>0</v>
      </c>
      <c r="P83" s="55" t="b">
        <f>IFERROR(__xludf.DUMMYFUNCTION("MIN(split(J83,"",""))&lt;=7"),TRUE)</f>
        <v>1</v>
      </c>
      <c r="Q83" s="55" t="b">
        <f>IFERROR(__xludf.DUMMYFUNCTION("max(split(J83,"",""))&gt;=8"),FALSE)</f>
        <v>0</v>
      </c>
      <c r="R83" s="55" t="b">
        <f t="shared" si="3"/>
        <v>0</v>
      </c>
      <c r="S83" s="42"/>
    </row>
    <row r="84">
      <c r="A84" s="65" t="s">
        <v>3033</v>
      </c>
      <c r="B84" s="42">
        <v>91.0</v>
      </c>
      <c r="C84" s="65" t="s">
        <v>3318</v>
      </c>
      <c r="D84" s="2" t="s">
        <v>19</v>
      </c>
      <c r="E84" s="70" t="s">
        <v>4017</v>
      </c>
      <c r="F84" s="2" t="s">
        <v>4018</v>
      </c>
      <c r="G84" s="2" t="s">
        <v>4019</v>
      </c>
      <c r="H84" s="54" t="str">
        <f t="shared" si="1"/>
        <v>(P6,P7,P8,P9,P11,P12)</v>
      </c>
      <c r="I84" s="54" t="str">
        <f>IFERROR(__xludf.DUMMYFUNCTION("concatenate(ARRAYFORMULA(""P"" &amp; SPLIT(J84, "","") &amp; "",""))"),"P6,P7,P8,P9,P11,P12,")</f>
        <v>P6,P7,P8,P9,P11,P12,</v>
      </c>
      <c r="J84" s="54" t="str">
        <f>IFERROR(__xludf.DUMMYFUNCTION("ArrayFormula(textjoin("", "",true,unique(trim(split(M84,"","")),true)))"),"6, 7, 8, 9, 11, 12")</f>
        <v>6, 7, 8, 9, 11, 12</v>
      </c>
      <c r="K84" s="65" t="s">
        <v>4020</v>
      </c>
      <c r="L84" s="65" t="s">
        <v>4021</v>
      </c>
      <c r="M84" s="54" t="str">
        <f t="shared" si="2"/>
        <v>06, 07, 08, 08, 09, 11, 12</v>
      </c>
      <c r="N84" s="71">
        <f>IFERROR(__xludf.DUMMYFUNCTION("countunique(split(M84, "", ""))"),6.0)</f>
        <v>6</v>
      </c>
      <c r="O84" s="71">
        <f>IFERROR(__xludf.DUMMYFUNCTION("countif(split(K84,"",""),C84)"),0.0)</f>
        <v>0</v>
      </c>
      <c r="P84" s="55" t="b">
        <f>IFERROR(__xludf.DUMMYFUNCTION("MIN(split(J84,"",""))&lt;=7"),TRUE)</f>
        <v>1</v>
      </c>
      <c r="Q84" s="55" t="b">
        <f>IFERROR(__xludf.DUMMYFUNCTION("max(split(J84,"",""))&gt;=8"),TRUE)</f>
        <v>1</v>
      </c>
      <c r="R84" s="55" t="b">
        <f t="shared" si="3"/>
        <v>1</v>
      </c>
      <c r="S84" s="2"/>
    </row>
    <row r="85">
      <c r="A85" s="65" t="s">
        <v>3028</v>
      </c>
      <c r="B85" s="2">
        <v>92.0</v>
      </c>
      <c r="C85" s="65" t="s">
        <v>3318</v>
      </c>
      <c r="D85" s="2" t="s">
        <v>19</v>
      </c>
      <c r="E85" s="70" t="s">
        <v>3493</v>
      </c>
      <c r="F85" s="42" t="s">
        <v>2294</v>
      </c>
      <c r="G85" s="2"/>
      <c r="H85" s="54" t="str">
        <f t="shared" si="1"/>
        <v>(P6)</v>
      </c>
      <c r="I85" s="54" t="str">
        <f>IFERROR(__xludf.DUMMYFUNCTION("concatenate(ARRAYFORMULA(""P"" &amp; SPLIT(J85, "","") &amp; "",""))"),"P6,")</f>
        <v>P6,</v>
      </c>
      <c r="J85" s="54" t="str">
        <f>IFERROR(__xludf.DUMMYFUNCTION("ArrayFormula(textjoin("", "",true,unique(trim(split(M85,"","")),true)))"),"6")</f>
        <v>6</v>
      </c>
      <c r="K85" s="65"/>
      <c r="L85" s="65"/>
      <c r="M85" s="54" t="str">
        <f t="shared" si="2"/>
        <v>06</v>
      </c>
      <c r="N85" s="71">
        <f>IFERROR(__xludf.DUMMYFUNCTION("countunique(split(M85, "", ""))"),1.0)</f>
        <v>1</v>
      </c>
      <c r="O85" s="71">
        <f>IFERROR(__xludf.DUMMYFUNCTION("countif(split(K85,"",""),C85)"),0.0)</f>
        <v>0</v>
      </c>
      <c r="P85" s="55" t="b">
        <f>IFERROR(__xludf.DUMMYFUNCTION("MIN(split(J85,"",""))&lt;=7"),TRUE)</f>
        <v>1</v>
      </c>
      <c r="Q85" s="55" t="b">
        <f>IFERROR(__xludf.DUMMYFUNCTION("max(split(J85,"",""))&gt;=8"),FALSE)</f>
        <v>0</v>
      </c>
      <c r="R85" s="55" t="b">
        <f t="shared" si="3"/>
        <v>0</v>
      </c>
      <c r="S85" s="2"/>
    </row>
    <row r="86">
      <c r="A86" s="65" t="s">
        <v>3031</v>
      </c>
      <c r="B86" s="42">
        <v>93.0</v>
      </c>
      <c r="C86" s="65" t="s">
        <v>3318</v>
      </c>
      <c r="D86" s="2" t="s">
        <v>19</v>
      </c>
      <c r="E86" s="70" t="s">
        <v>3495</v>
      </c>
      <c r="F86" s="42" t="s">
        <v>2298</v>
      </c>
      <c r="G86" s="2"/>
      <c r="H86" s="54" t="str">
        <f t="shared" si="1"/>
        <v>(P6)</v>
      </c>
      <c r="I86" s="54" t="str">
        <f>IFERROR(__xludf.DUMMYFUNCTION("concatenate(ARRAYFORMULA(""P"" &amp; SPLIT(J86, "","") &amp; "",""))"),"P6,")</f>
        <v>P6,</v>
      </c>
      <c r="J86" s="54" t="str">
        <f>IFERROR(__xludf.DUMMYFUNCTION("ArrayFormula(textjoin("", "",true,unique(trim(split(M86,"","")),true)))"),"6")</f>
        <v>6</v>
      </c>
      <c r="K86" s="65"/>
      <c r="L86" s="65"/>
      <c r="M86" s="54" t="str">
        <f t="shared" si="2"/>
        <v>06</v>
      </c>
      <c r="N86" s="71">
        <f>IFERROR(__xludf.DUMMYFUNCTION("countunique(split(M86, "", ""))"),1.0)</f>
        <v>1</v>
      </c>
      <c r="O86" s="71">
        <f>IFERROR(__xludf.DUMMYFUNCTION("countif(split(K86,"",""),C86)"),0.0)</f>
        <v>0</v>
      </c>
      <c r="P86" s="55" t="b">
        <f>IFERROR(__xludf.DUMMYFUNCTION("MIN(split(J86,"",""))&lt;=7"),TRUE)</f>
        <v>1</v>
      </c>
      <c r="Q86" s="55" t="b">
        <f>IFERROR(__xludf.DUMMYFUNCTION("max(split(J86,"",""))&gt;=8"),FALSE)</f>
        <v>0</v>
      </c>
      <c r="R86" s="55" t="b">
        <f t="shared" si="3"/>
        <v>0</v>
      </c>
      <c r="S86" s="2"/>
    </row>
    <row r="87">
      <c r="A87" s="65" t="s">
        <v>3027</v>
      </c>
      <c r="B87" s="42">
        <v>94.0</v>
      </c>
      <c r="C87" s="65" t="s">
        <v>3318</v>
      </c>
      <c r="D87" s="2" t="s">
        <v>19</v>
      </c>
      <c r="E87" s="70" t="s">
        <v>4022</v>
      </c>
      <c r="F87" s="2" t="s">
        <v>4023</v>
      </c>
      <c r="G87" s="2" t="s">
        <v>4024</v>
      </c>
      <c r="H87" s="54" t="str">
        <f t="shared" si="1"/>
        <v>(P6,P10)</v>
      </c>
      <c r="I87" s="54" t="str">
        <f>IFERROR(__xludf.DUMMYFUNCTION("concatenate(ARRAYFORMULA(""P"" &amp; SPLIT(J87, "","") &amp; "",""))"),"P6,P10,")</f>
        <v>P6,P10,</v>
      </c>
      <c r="J87" s="54" t="str">
        <f>IFERROR(__xludf.DUMMYFUNCTION("ArrayFormula(textjoin("", "",true,unique(trim(split(M87,"","")),true)))"),"6, 10")</f>
        <v>6, 10</v>
      </c>
      <c r="K87" s="65" t="s">
        <v>3995</v>
      </c>
      <c r="L87" s="65" t="s">
        <v>3600</v>
      </c>
      <c r="M87" s="54" t="str">
        <f t="shared" si="2"/>
        <v>06, 10</v>
      </c>
      <c r="N87" s="71">
        <f>IFERROR(__xludf.DUMMYFUNCTION("countunique(split(M87, "", ""))"),2.0)</f>
        <v>2</v>
      </c>
      <c r="O87" s="71">
        <f>IFERROR(__xludf.DUMMYFUNCTION("countif(split(K87,"",""),C87)"),0.0)</f>
        <v>0</v>
      </c>
      <c r="P87" s="55" t="b">
        <f>IFERROR(__xludf.DUMMYFUNCTION("MIN(split(J87,"",""))&lt;=7"),TRUE)</f>
        <v>1</v>
      </c>
      <c r="Q87" s="55" t="b">
        <f>IFERROR(__xludf.DUMMYFUNCTION("max(split(J87,"",""))&gt;=8"),TRUE)</f>
        <v>1</v>
      </c>
      <c r="R87" s="55" t="b">
        <f t="shared" si="3"/>
        <v>1</v>
      </c>
      <c r="S87" s="2"/>
    </row>
    <row r="88">
      <c r="A88" s="65" t="s">
        <v>3034</v>
      </c>
      <c r="B88" s="42">
        <v>95.0</v>
      </c>
      <c r="C88" s="65" t="s">
        <v>3318</v>
      </c>
      <c r="D88" s="2" t="s">
        <v>19</v>
      </c>
      <c r="E88" s="70" t="s">
        <v>3498</v>
      </c>
      <c r="F88" s="42" t="s">
        <v>2304</v>
      </c>
      <c r="G88" s="2"/>
      <c r="H88" s="54" t="str">
        <f t="shared" si="1"/>
        <v>(P6)</v>
      </c>
      <c r="I88" s="54" t="str">
        <f>IFERROR(__xludf.DUMMYFUNCTION("concatenate(ARRAYFORMULA(""P"" &amp; SPLIT(J88, "","") &amp; "",""))"),"P6,")</f>
        <v>P6,</v>
      </c>
      <c r="J88" s="54" t="str">
        <f>IFERROR(__xludf.DUMMYFUNCTION("ArrayFormula(textjoin("", "",true,unique(trim(split(M88,"","")),true)))"),"6")</f>
        <v>6</v>
      </c>
      <c r="K88" s="65"/>
      <c r="L88" s="65"/>
      <c r="M88" s="54" t="str">
        <f t="shared" si="2"/>
        <v>06</v>
      </c>
      <c r="N88" s="71">
        <f>IFERROR(__xludf.DUMMYFUNCTION("countunique(split(M88, "", ""))"),1.0)</f>
        <v>1</v>
      </c>
      <c r="O88" s="71">
        <f>IFERROR(__xludf.DUMMYFUNCTION("countif(split(K88,"",""),C88)"),0.0)</f>
        <v>0</v>
      </c>
      <c r="P88" s="55" t="b">
        <f>IFERROR(__xludf.DUMMYFUNCTION("MIN(split(J88,"",""))&lt;=7"),TRUE)</f>
        <v>1</v>
      </c>
      <c r="Q88" s="55" t="b">
        <f>IFERROR(__xludf.DUMMYFUNCTION("max(split(J88,"",""))&gt;=8"),FALSE)</f>
        <v>0</v>
      </c>
      <c r="R88" s="55" t="b">
        <f t="shared" si="3"/>
        <v>0</v>
      </c>
      <c r="S88" s="2"/>
    </row>
    <row r="89">
      <c r="A89" s="65" t="s">
        <v>3037</v>
      </c>
      <c r="B89" s="2">
        <v>96.0</v>
      </c>
      <c r="C89" s="65" t="s">
        <v>3318</v>
      </c>
      <c r="D89" s="42" t="s">
        <v>19</v>
      </c>
      <c r="E89" s="75" t="s">
        <v>3500</v>
      </c>
      <c r="F89" s="42" t="s">
        <v>2308</v>
      </c>
      <c r="G89" s="42"/>
      <c r="H89" s="54" t="str">
        <f t="shared" si="1"/>
        <v>(P6)</v>
      </c>
      <c r="I89" s="54" t="str">
        <f>IFERROR(__xludf.DUMMYFUNCTION("concatenate(ARRAYFORMULA(""P"" &amp; SPLIT(J89, "","") &amp; "",""))"),"P6,")</f>
        <v>P6,</v>
      </c>
      <c r="J89" s="54" t="str">
        <f>IFERROR(__xludf.DUMMYFUNCTION("ArrayFormula(textjoin("", "",true,unique(trim(split(M89,"","")),true)))"),"6")</f>
        <v>6</v>
      </c>
      <c r="K89" s="65"/>
      <c r="L89" s="65"/>
      <c r="M89" s="54" t="str">
        <f t="shared" si="2"/>
        <v>06</v>
      </c>
      <c r="N89" s="71">
        <f>IFERROR(__xludf.DUMMYFUNCTION("countunique(split(M89, "", ""))"),1.0)</f>
        <v>1</v>
      </c>
      <c r="O89" s="71">
        <f>IFERROR(__xludf.DUMMYFUNCTION("countif(split(K89,"",""),C89)"),0.0)</f>
        <v>0</v>
      </c>
      <c r="P89" s="55" t="b">
        <f>IFERROR(__xludf.DUMMYFUNCTION("MIN(split(J89,"",""))&lt;=7"),TRUE)</f>
        <v>1</v>
      </c>
      <c r="Q89" s="55" t="b">
        <f>IFERROR(__xludf.DUMMYFUNCTION("max(split(J89,"",""))&gt;=8"),FALSE)</f>
        <v>0</v>
      </c>
      <c r="R89" s="55" t="b">
        <f t="shared" si="3"/>
        <v>0</v>
      </c>
      <c r="S89" s="42"/>
    </row>
    <row r="90">
      <c r="A90" s="65" t="s">
        <v>3039</v>
      </c>
      <c r="B90" s="42">
        <v>97.0</v>
      </c>
      <c r="C90" s="65" t="s">
        <v>3318</v>
      </c>
      <c r="D90" s="42" t="s">
        <v>19</v>
      </c>
      <c r="E90" s="75" t="s">
        <v>4025</v>
      </c>
      <c r="F90" s="42" t="s">
        <v>4026</v>
      </c>
      <c r="G90" s="42" t="s">
        <v>4027</v>
      </c>
      <c r="H90" s="54" t="str">
        <f t="shared" si="1"/>
        <v>(P6,P9,P10,P12)</v>
      </c>
      <c r="I90" s="54" t="str">
        <f>IFERROR(__xludf.DUMMYFUNCTION("concatenate(ARRAYFORMULA(""P"" &amp; SPLIT(J90, "","") &amp; "",""))"),"P6,P9,P10,P12,")</f>
        <v>P6,P9,P10,P12,</v>
      </c>
      <c r="J90" s="54" t="str">
        <f>IFERROR(__xludf.DUMMYFUNCTION("ArrayFormula(textjoin("", "",true,unique(trim(split(M90,"","")),true)))"),"6, 9, 10, 12")</f>
        <v>6, 9, 10, 12</v>
      </c>
      <c r="K90" s="65" t="s">
        <v>4028</v>
      </c>
      <c r="L90" s="65" t="s">
        <v>4029</v>
      </c>
      <c r="M90" s="54" t="str">
        <f t="shared" si="2"/>
        <v>06, 09, 10, 12, 12</v>
      </c>
      <c r="N90" s="71">
        <f>IFERROR(__xludf.DUMMYFUNCTION("countunique(split(M90, "", ""))"),4.0)</f>
        <v>4</v>
      </c>
      <c r="O90" s="71">
        <f>IFERROR(__xludf.DUMMYFUNCTION("countif(split(K90,"",""),C90)"),0.0)</f>
        <v>0</v>
      </c>
      <c r="P90" s="55" t="b">
        <f>IFERROR(__xludf.DUMMYFUNCTION("MIN(split(J90,"",""))&lt;=7"),TRUE)</f>
        <v>1</v>
      </c>
      <c r="Q90" s="55" t="b">
        <f>IFERROR(__xludf.DUMMYFUNCTION("max(split(J90,"",""))&gt;=8"),TRUE)</f>
        <v>1</v>
      </c>
      <c r="R90" s="55" t="b">
        <f t="shared" si="3"/>
        <v>1</v>
      </c>
      <c r="S90" s="42"/>
    </row>
    <row r="91">
      <c r="A91" s="65" t="s">
        <v>3040</v>
      </c>
      <c r="B91" s="2">
        <v>98.0</v>
      </c>
      <c r="C91" s="65" t="s">
        <v>3318</v>
      </c>
      <c r="D91" s="42" t="s">
        <v>19</v>
      </c>
      <c r="E91" s="75" t="s">
        <v>3502</v>
      </c>
      <c r="F91" s="42" t="s">
        <v>2317</v>
      </c>
      <c r="G91" s="42"/>
      <c r="H91" s="54" t="str">
        <f t="shared" si="1"/>
        <v>(P6)</v>
      </c>
      <c r="I91" s="54" t="str">
        <f>IFERROR(__xludf.DUMMYFUNCTION("concatenate(ARRAYFORMULA(""P"" &amp; SPLIT(J91, "","") &amp; "",""))"),"P6,")</f>
        <v>P6,</v>
      </c>
      <c r="J91" s="54" t="str">
        <f>IFERROR(__xludf.DUMMYFUNCTION("ArrayFormula(textjoin("", "",true,unique(trim(split(M91,"","")),true)))"),"6")</f>
        <v>6</v>
      </c>
      <c r="K91" s="65"/>
      <c r="L91" s="65"/>
      <c r="M91" s="54" t="str">
        <f t="shared" si="2"/>
        <v>06</v>
      </c>
      <c r="N91" s="71">
        <f>IFERROR(__xludf.DUMMYFUNCTION("countunique(split(M91, "", ""))"),1.0)</f>
        <v>1</v>
      </c>
      <c r="O91" s="71">
        <f>IFERROR(__xludf.DUMMYFUNCTION("countif(split(K91,"",""),C91)"),0.0)</f>
        <v>0</v>
      </c>
      <c r="P91" s="55" t="b">
        <f>IFERROR(__xludf.DUMMYFUNCTION("MIN(split(J91,"",""))&lt;=7"),TRUE)</f>
        <v>1</v>
      </c>
      <c r="Q91" s="55" t="b">
        <f>IFERROR(__xludf.DUMMYFUNCTION("max(split(J91,"",""))&gt;=8"),FALSE)</f>
        <v>0</v>
      </c>
      <c r="R91" s="55" t="b">
        <f t="shared" si="3"/>
        <v>0</v>
      </c>
      <c r="S91" s="42"/>
    </row>
    <row r="92">
      <c r="A92" s="65" t="s">
        <v>3045</v>
      </c>
      <c r="B92" s="2">
        <v>100.0</v>
      </c>
      <c r="C92" s="81" t="s">
        <v>3252</v>
      </c>
      <c r="D92" s="42" t="s">
        <v>19</v>
      </c>
      <c r="E92" s="75" t="s">
        <v>4030</v>
      </c>
      <c r="F92" s="42" t="s">
        <v>4031</v>
      </c>
      <c r="G92" s="42" t="s">
        <v>2324</v>
      </c>
      <c r="H92" s="54" t="str">
        <f t="shared" si="1"/>
        <v>(P7)</v>
      </c>
      <c r="I92" s="54" t="str">
        <f>IFERROR(__xludf.DUMMYFUNCTION("concatenate(ARRAYFORMULA(""P"" &amp; SPLIT(J92, "","") &amp; "",""))"),"P7,")</f>
        <v>P7,</v>
      </c>
      <c r="J92" s="54" t="str">
        <f>IFERROR(__xludf.DUMMYFUNCTION("ArrayFormula(textjoin("", "",true,unique(trim(split(M92,"","")),true)))"),"7")</f>
        <v>7</v>
      </c>
      <c r="K92" s="65" t="s">
        <v>3252</v>
      </c>
      <c r="L92" s="65" t="s">
        <v>3050</v>
      </c>
      <c r="M92" s="54" t="str">
        <f t="shared" si="2"/>
        <v>07, 07</v>
      </c>
      <c r="N92" s="71">
        <f>IFERROR(__xludf.DUMMYFUNCTION("countunique(split(M92, "", ""))"),1.0)</f>
        <v>1</v>
      </c>
      <c r="O92" s="71">
        <f>IFERROR(__xludf.DUMMYFUNCTION("countif(split(K92,"",""),C92)"),1.0)</f>
        <v>1</v>
      </c>
      <c r="P92" s="55" t="b">
        <f>IFERROR(__xludf.DUMMYFUNCTION("MIN(split(J92,"",""))&lt;=7"),TRUE)</f>
        <v>1</v>
      </c>
      <c r="Q92" s="55" t="b">
        <f>IFERROR(__xludf.DUMMYFUNCTION("max(split(J92,"",""))&gt;=8"),FALSE)</f>
        <v>0</v>
      </c>
      <c r="R92" s="55" t="b">
        <f t="shared" si="3"/>
        <v>0</v>
      </c>
      <c r="S92" s="42"/>
    </row>
    <row r="93">
      <c r="A93" s="65" t="s">
        <v>3053</v>
      </c>
      <c r="B93" s="42">
        <v>103.0</v>
      </c>
      <c r="C93" s="65" t="s">
        <v>3252</v>
      </c>
      <c r="D93" s="42" t="s">
        <v>19</v>
      </c>
      <c r="E93" s="75" t="s">
        <v>3511</v>
      </c>
      <c r="F93" s="42" t="s">
        <v>2341</v>
      </c>
      <c r="G93" s="42"/>
      <c r="H93" s="54" t="str">
        <f t="shared" si="1"/>
        <v>(P7)</v>
      </c>
      <c r="I93" s="54" t="str">
        <f>IFERROR(__xludf.DUMMYFUNCTION("concatenate(ARRAYFORMULA(""P"" &amp; SPLIT(J93, "","") &amp; "",""))"),"P7,")</f>
        <v>P7,</v>
      </c>
      <c r="J93" s="54" t="str">
        <f>IFERROR(__xludf.DUMMYFUNCTION("ArrayFormula(textjoin("", "",true,unique(trim(split(M93,"","")),true)))"),"7")</f>
        <v>7</v>
      </c>
      <c r="K93" s="65"/>
      <c r="L93" s="65"/>
      <c r="M93" s="54" t="str">
        <f t="shared" si="2"/>
        <v>07</v>
      </c>
      <c r="N93" s="71">
        <f>IFERROR(__xludf.DUMMYFUNCTION("countunique(split(M93, "", ""))"),1.0)</f>
        <v>1</v>
      </c>
      <c r="O93" s="71">
        <f>IFERROR(__xludf.DUMMYFUNCTION("countif(split(K93,"",""),C93)"),0.0)</f>
        <v>0</v>
      </c>
      <c r="P93" s="55" t="b">
        <f>IFERROR(__xludf.DUMMYFUNCTION("MIN(split(J93,"",""))&lt;=7"),TRUE)</f>
        <v>1</v>
      </c>
      <c r="Q93" s="55" t="b">
        <f>IFERROR(__xludf.DUMMYFUNCTION("max(split(J93,"",""))&gt;=8"),FALSE)</f>
        <v>0</v>
      </c>
      <c r="R93" s="55" t="b">
        <f t="shared" si="3"/>
        <v>0</v>
      </c>
      <c r="S93" s="42"/>
    </row>
    <row r="94">
      <c r="A94" s="65" t="s">
        <v>3054</v>
      </c>
      <c r="B94" s="2">
        <v>104.0</v>
      </c>
      <c r="C94" s="65" t="s">
        <v>3252</v>
      </c>
      <c r="D94" s="42" t="s">
        <v>19</v>
      </c>
      <c r="E94" s="75" t="s">
        <v>4032</v>
      </c>
      <c r="F94" s="42" t="s">
        <v>4033</v>
      </c>
      <c r="G94" s="42" t="s">
        <v>2344</v>
      </c>
      <c r="H94" s="54" t="str">
        <f t="shared" si="1"/>
        <v>(P7,P8,P10,P13)</v>
      </c>
      <c r="I94" s="54" t="str">
        <f>IFERROR(__xludf.DUMMYFUNCTION("concatenate(ARRAYFORMULA(""P"" &amp; SPLIT(J94, "","") &amp; "",""))"),"P7,P8,P10,P13,")</f>
        <v>P7,P8,P10,P13,</v>
      </c>
      <c r="J94" s="54" t="str">
        <f>IFERROR(__xludf.DUMMYFUNCTION("ArrayFormula(textjoin("", "",true,unique(trim(split(M94,"","")),true)))"),"7, 8, 10, 13")</f>
        <v>7, 8, 10, 13</v>
      </c>
      <c r="K94" s="65" t="s">
        <v>4034</v>
      </c>
      <c r="L94" s="65" t="s">
        <v>4035</v>
      </c>
      <c r="M94" s="54" t="str">
        <f t="shared" si="2"/>
        <v>07, 08, 08, 10, 10, 13</v>
      </c>
      <c r="N94" s="71">
        <f>IFERROR(__xludf.DUMMYFUNCTION("countunique(split(M94, "", ""))"),4.0)</f>
        <v>4</v>
      </c>
      <c r="O94" s="71">
        <f>IFERROR(__xludf.DUMMYFUNCTION("countif(split(K94,"",""),C94)"),0.0)</f>
        <v>0</v>
      </c>
      <c r="P94" s="55" t="b">
        <f>IFERROR(__xludf.DUMMYFUNCTION("MIN(split(J94,"",""))&lt;=7"),TRUE)</f>
        <v>1</v>
      </c>
      <c r="Q94" s="55" t="b">
        <f>IFERROR(__xludf.DUMMYFUNCTION("max(split(J94,"",""))&gt;=8"),TRUE)</f>
        <v>1</v>
      </c>
      <c r="R94" s="55" t="b">
        <f t="shared" si="3"/>
        <v>1</v>
      </c>
      <c r="S94" s="42"/>
    </row>
    <row r="95">
      <c r="A95" s="65" t="s">
        <v>3055</v>
      </c>
      <c r="B95" s="42">
        <v>105.0</v>
      </c>
      <c r="C95" s="65" t="s">
        <v>3252</v>
      </c>
      <c r="D95" s="42" t="s">
        <v>19</v>
      </c>
      <c r="E95" s="75" t="s">
        <v>3515</v>
      </c>
      <c r="F95" s="42" t="s">
        <v>2348</v>
      </c>
      <c r="G95" s="42"/>
      <c r="H95" s="54" t="str">
        <f t="shared" si="1"/>
        <v>(P7)</v>
      </c>
      <c r="I95" s="54" t="str">
        <f>IFERROR(__xludf.DUMMYFUNCTION("concatenate(ARRAYFORMULA(""P"" &amp; SPLIT(J95, "","") &amp; "",""))"),"P7,")</f>
        <v>P7,</v>
      </c>
      <c r="J95" s="54" t="str">
        <f>IFERROR(__xludf.DUMMYFUNCTION("ArrayFormula(textjoin("", "",true,unique(trim(split(M95,"","")),true)))"),"7")</f>
        <v>7</v>
      </c>
      <c r="K95" s="65"/>
      <c r="L95" s="65"/>
      <c r="M95" s="54" t="str">
        <f t="shared" si="2"/>
        <v>07</v>
      </c>
      <c r="N95" s="71">
        <f>IFERROR(__xludf.DUMMYFUNCTION("countunique(split(M95, "", ""))"),1.0)</f>
        <v>1</v>
      </c>
      <c r="O95" s="71">
        <f>IFERROR(__xludf.DUMMYFUNCTION("countif(split(K95,"",""),C95)"),0.0)</f>
        <v>0</v>
      </c>
      <c r="P95" s="55" t="b">
        <f>IFERROR(__xludf.DUMMYFUNCTION("MIN(split(J95,"",""))&lt;=7"),TRUE)</f>
        <v>1</v>
      </c>
      <c r="Q95" s="55" t="b">
        <f>IFERROR(__xludf.DUMMYFUNCTION("max(split(J95,"",""))&gt;=8"),FALSE)</f>
        <v>0</v>
      </c>
      <c r="R95" s="55" t="b">
        <f t="shared" si="3"/>
        <v>0</v>
      </c>
      <c r="S95" s="42"/>
    </row>
    <row r="96">
      <c r="A96" s="65" t="s">
        <v>3056</v>
      </c>
      <c r="B96" s="2">
        <v>106.0</v>
      </c>
      <c r="C96" s="65" t="s">
        <v>3252</v>
      </c>
      <c r="D96" s="42" t="s">
        <v>19</v>
      </c>
      <c r="E96" s="75" t="s">
        <v>3516</v>
      </c>
      <c r="F96" s="42" t="s">
        <v>2349</v>
      </c>
      <c r="G96" s="42"/>
      <c r="H96" s="54" t="str">
        <f t="shared" si="1"/>
        <v>(P7)</v>
      </c>
      <c r="I96" s="54" t="str">
        <f>IFERROR(__xludf.DUMMYFUNCTION("concatenate(ARRAYFORMULA(""P"" &amp; SPLIT(J96, "","") &amp; "",""))"),"P7,")</f>
        <v>P7,</v>
      </c>
      <c r="J96" s="54" t="str">
        <f>IFERROR(__xludf.DUMMYFUNCTION("ArrayFormula(textjoin("", "",true,unique(trim(split(M96,"","")),true)))"),"7")</f>
        <v>7</v>
      </c>
      <c r="K96" s="65"/>
      <c r="L96" s="65"/>
      <c r="M96" s="54" t="str">
        <f t="shared" si="2"/>
        <v>07</v>
      </c>
      <c r="N96" s="71">
        <f>IFERROR(__xludf.DUMMYFUNCTION("countunique(split(M96, "", ""))"),1.0)</f>
        <v>1</v>
      </c>
      <c r="O96" s="71">
        <f>IFERROR(__xludf.DUMMYFUNCTION("countif(split(K96,"",""),C96)"),0.0)</f>
        <v>0</v>
      </c>
      <c r="P96" s="55" t="b">
        <f>IFERROR(__xludf.DUMMYFUNCTION("MIN(split(J96,"",""))&lt;=7"),TRUE)</f>
        <v>1</v>
      </c>
      <c r="Q96" s="55" t="b">
        <f>IFERROR(__xludf.DUMMYFUNCTION("max(split(J96,"",""))&gt;=8"),FALSE)</f>
        <v>0</v>
      </c>
      <c r="R96" s="55" t="b">
        <f t="shared" si="3"/>
        <v>0</v>
      </c>
      <c r="S96" s="42"/>
    </row>
    <row r="97">
      <c r="A97" s="65" t="s">
        <v>3060</v>
      </c>
      <c r="B97" s="2">
        <v>108.0</v>
      </c>
      <c r="C97" s="65" t="s">
        <v>3252</v>
      </c>
      <c r="D97" s="42" t="s">
        <v>19</v>
      </c>
      <c r="E97" s="75" t="s">
        <v>3518</v>
      </c>
      <c r="F97" s="42" t="s">
        <v>2352</v>
      </c>
      <c r="G97" s="42"/>
      <c r="H97" s="54" t="str">
        <f t="shared" si="1"/>
        <v>(P7)</v>
      </c>
      <c r="I97" s="54" t="str">
        <f>IFERROR(__xludf.DUMMYFUNCTION("concatenate(ARRAYFORMULA(""P"" &amp; SPLIT(J97, "","") &amp; "",""))"),"P7,")</f>
        <v>P7,</v>
      </c>
      <c r="J97" s="54" t="str">
        <f>IFERROR(__xludf.DUMMYFUNCTION("ArrayFormula(textjoin("", "",true,unique(trim(split(M97,"","")),true)))"),"7")</f>
        <v>7</v>
      </c>
      <c r="K97" s="65"/>
      <c r="L97" s="65"/>
      <c r="M97" s="54" t="str">
        <f t="shared" si="2"/>
        <v>07</v>
      </c>
      <c r="N97" s="71">
        <f>IFERROR(__xludf.DUMMYFUNCTION("countunique(split(M97, "", ""))"),1.0)</f>
        <v>1</v>
      </c>
      <c r="O97" s="71">
        <f>IFERROR(__xludf.DUMMYFUNCTION("countif(split(K97,"",""),C97)"),0.0)</f>
        <v>0</v>
      </c>
      <c r="P97" s="55" t="b">
        <f>IFERROR(__xludf.DUMMYFUNCTION("MIN(split(J97,"",""))&lt;=7"),TRUE)</f>
        <v>1</v>
      </c>
      <c r="Q97" s="55" t="b">
        <f>IFERROR(__xludf.DUMMYFUNCTION("max(split(J97,"",""))&gt;=8"),FALSE)</f>
        <v>0</v>
      </c>
      <c r="R97" s="55" t="b">
        <f t="shared" si="3"/>
        <v>0</v>
      </c>
      <c r="S97" s="42"/>
    </row>
    <row r="98">
      <c r="A98" s="65" t="s">
        <v>3061</v>
      </c>
      <c r="B98" s="42">
        <v>109.0</v>
      </c>
      <c r="C98" s="65" t="s">
        <v>3252</v>
      </c>
      <c r="D98" s="42" t="s">
        <v>19</v>
      </c>
      <c r="E98" s="75" t="s">
        <v>4036</v>
      </c>
      <c r="F98" s="2" t="s">
        <v>4037</v>
      </c>
      <c r="G98" s="42" t="s">
        <v>4038</v>
      </c>
      <c r="H98" s="54" t="str">
        <f t="shared" si="1"/>
        <v>(P7,P13,P14)</v>
      </c>
      <c r="I98" s="54" t="str">
        <f>IFERROR(__xludf.DUMMYFUNCTION("concatenate(ARRAYFORMULA(""P"" &amp; SPLIT(J98, "","") &amp; "",""))"),"P7,P13,P14,")</f>
        <v>P7,P13,P14,</v>
      </c>
      <c r="J98" s="54" t="str">
        <f>IFERROR(__xludf.DUMMYFUNCTION("ArrayFormula(textjoin("", "",true,unique(trim(split(M98,"","")),true)))"),"7, 13, 14")</f>
        <v>7, 13, 14</v>
      </c>
      <c r="K98" s="65" t="s">
        <v>4039</v>
      </c>
      <c r="L98" s="65" t="s">
        <v>4040</v>
      </c>
      <c r="M98" s="54" t="str">
        <f t="shared" si="2"/>
        <v>07, 13, 14</v>
      </c>
      <c r="N98" s="71">
        <f>IFERROR(__xludf.DUMMYFUNCTION("countunique(split(M98, "", ""))"),3.0)</f>
        <v>3</v>
      </c>
      <c r="O98" s="71">
        <f>IFERROR(__xludf.DUMMYFUNCTION("countif(split(K98,"",""),C98)"),0.0)</f>
        <v>0</v>
      </c>
      <c r="P98" s="55" t="b">
        <f>IFERROR(__xludf.DUMMYFUNCTION("MIN(split(J98,"",""))&lt;=7"),TRUE)</f>
        <v>1</v>
      </c>
      <c r="Q98" s="55" t="b">
        <f>IFERROR(__xludf.DUMMYFUNCTION("max(split(J98,"",""))&gt;=8"),TRUE)</f>
        <v>1</v>
      </c>
      <c r="R98" s="55" t="b">
        <f t="shared" si="3"/>
        <v>1</v>
      </c>
      <c r="S98" s="42"/>
    </row>
    <row r="99">
      <c r="A99" s="65" t="s">
        <v>3063</v>
      </c>
      <c r="B99" s="2">
        <v>110.0</v>
      </c>
      <c r="C99" s="65" t="s">
        <v>3252</v>
      </c>
      <c r="D99" s="42" t="s">
        <v>19</v>
      </c>
      <c r="E99" s="75" t="s">
        <v>4041</v>
      </c>
      <c r="F99" s="42" t="s">
        <v>4042</v>
      </c>
      <c r="G99" s="42" t="s">
        <v>4043</v>
      </c>
      <c r="H99" s="54" t="str">
        <f t="shared" si="1"/>
        <v>(P7)</v>
      </c>
      <c r="I99" s="54" t="str">
        <f>IFERROR(__xludf.DUMMYFUNCTION("concatenate(ARRAYFORMULA(""P"" &amp; SPLIT(J99, "","") &amp; "",""))"),"P7,")</f>
        <v>P7,</v>
      </c>
      <c r="J99" s="54" t="str">
        <f>IFERROR(__xludf.DUMMYFUNCTION("ArrayFormula(textjoin("", "",true,unique(trim(split(M99,"","")),true)))"),"7")</f>
        <v>7</v>
      </c>
      <c r="K99" s="65" t="s">
        <v>3252</v>
      </c>
      <c r="L99" s="65" t="s">
        <v>3047</v>
      </c>
      <c r="M99" s="54" t="str">
        <f t="shared" si="2"/>
        <v>07, 07</v>
      </c>
      <c r="N99" s="71">
        <f>IFERROR(__xludf.DUMMYFUNCTION("countunique(split(M99, "", ""))"),1.0)</f>
        <v>1</v>
      </c>
      <c r="O99" s="71">
        <f>IFERROR(__xludf.DUMMYFUNCTION("countif(split(K99,"",""),C99)"),1.0)</f>
        <v>1</v>
      </c>
      <c r="P99" s="55" t="b">
        <f>IFERROR(__xludf.DUMMYFUNCTION("MIN(split(J99,"",""))&lt;=7"),TRUE)</f>
        <v>1</v>
      </c>
      <c r="Q99" s="55" t="b">
        <f>IFERROR(__xludf.DUMMYFUNCTION("max(split(J99,"",""))&gt;=8"),FALSE)</f>
        <v>0</v>
      </c>
      <c r="R99" s="55" t="b">
        <f t="shared" si="3"/>
        <v>0</v>
      </c>
      <c r="S99" s="42"/>
    </row>
    <row r="100">
      <c r="A100" s="65" t="s">
        <v>3067</v>
      </c>
      <c r="B100" s="42">
        <v>111.0</v>
      </c>
      <c r="C100" s="65" t="s">
        <v>3252</v>
      </c>
      <c r="D100" s="2" t="s">
        <v>19</v>
      </c>
      <c r="E100" s="70" t="s">
        <v>4044</v>
      </c>
      <c r="F100" s="2" t="s">
        <v>4045</v>
      </c>
      <c r="G100" s="2" t="s">
        <v>4046</v>
      </c>
      <c r="H100" s="54" t="str">
        <f t="shared" si="1"/>
        <v>(P7)</v>
      </c>
      <c r="I100" s="54" t="str">
        <f>IFERROR(__xludf.DUMMYFUNCTION("concatenate(ARRAYFORMULA(""P"" &amp; SPLIT(J100, "","") &amp; "",""))"),"P7,")</f>
        <v>P7,</v>
      </c>
      <c r="J100" s="54" t="str">
        <f>IFERROR(__xludf.DUMMYFUNCTION("ArrayFormula(textjoin("", "",true,unique(trim(split(M100,"","")),true)))"),"7")</f>
        <v>7</v>
      </c>
      <c r="K100" s="65" t="s">
        <v>3252</v>
      </c>
      <c r="L100" s="65" t="s">
        <v>3065</v>
      </c>
      <c r="M100" s="54" t="str">
        <f t="shared" si="2"/>
        <v>07, 07</v>
      </c>
      <c r="N100" s="71">
        <f>IFERROR(__xludf.DUMMYFUNCTION("countunique(split(M100, "", ""))"),1.0)</f>
        <v>1</v>
      </c>
      <c r="O100" s="71">
        <f>IFERROR(__xludf.DUMMYFUNCTION("countif(split(K100,"",""),C100)"),1.0)</f>
        <v>1</v>
      </c>
      <c r="P100" s="55" t="b">
        <f>IFERROR(__xludf.DUMMYFUNCTION("MIN(split(J100,"",""))&lt;=7"),TRUE)</f>
        <v>1</v>
      </c>
      <c r="Q100" s="55" t="b">
        <f>IFERROR(__xludf.DUMMYFUNCTION("max(split(J100,"",""))&gt;=8"),FALSE)</f>
        <v>0</v>
      </c>
      <c r="R100" s="55" t="b">
        <f t="shared" si="3"/>
        <v>0</v>
      </c>
      <c r="S100" s="2"/>
    </row>
    <row r="101">
      <c r="A101" s="65" t="s">
        <v>3070</v>
      </c>
      <c r="B101" s="2">
        <v>112.0</v>
      </c>
      <c r="C101" s="65" t="s">
        <v>3252</v>
      </c>
      <c r="D101" s="2" t="s">
        <v>19</v>
      </c>
      <c r="E101" s="70" t="s">
        <v>4047</v>
      </c>
      <c r="F101" s="42" t="s">
        <v>4048</v>
      </c>
      <c r="G101" s="2" t="s">
        <v>2343</v>
      </c>
      <c r="H101" s="54" t="str">
        <f t="shared" si="1"/>
        <v>(P7,P11,P14)</v>
      </c>
      <c r="I101" s="54" t="str">
        <f>IFERROR(__xludf.DUMMYFUNCTION("concatenate(ARRAYFORMULA(""P"" &amp; SPLIT(J101, "","") &amp; "",""))"),"P7,P11,P14,")</f>
        <v>P7,P11,P14,</v>
      </c>
      <c r="J101" s="54" t="str">
        <f>IFERROR(__xludf.DUMMYFUNCTION("ArrayFormula(textjoin("", "",true,unique(trim(split(M101,"","")),true)))"),"7, 11, 14")</f>
        <v>7, 11, 14</v>
      </c>
      <c r="K101" s="65" t="s">
        <v>4049</v>
      </c>
      <c r="L101" s="65" t="s">
        <v>4050</v>
      </c>
      <c r="M101" s="54" t="str">
        <f t="shared" si="2"/>
        <v>07, 07, 11, 14</v>
      </c>
      <c r="N101" s="71">
        <f>IFERROR(__xludf.DUMMYFUNCTION("countunique(split(M101, "", ""))"),3.0)</f>
        <v>3</v>
      </c>
      <c r="O101" s="71">
        <f>IFERROR(__xludf.DUMMYFUNCTION("countif(split(K101,"",""),C101)"),1.0)</f>
        <v>1</v>
      </c>
      <c r="P101" s="55" t="b">
        <f>IFERROR(__xludf.DUMMYFUNCTION("MIN(split(J101,"",""))&lt;=7"),TRUE)</f>
        <v>1</v>
      </c>
      <c r="Q101" s="55" t="b">
        <f>IFERROR(__xludf.DUMMYFUNCTION("max(split(J101,"",""))&gt;=8"),TRUE)</f>
        <v>1</v>
      </c>
      <c r="R101" s="55" t="b">
        <f t="shared" si="3"/>
        <v>1</v>
      </c>
      <c r="S101" s="2"/>
    </row>
    <row r="102">
      <c r="A102" s="65" t="s">
        <v>3072</v>
      </c>
      <c r="B102" s="42">
        <v>113.0</v>
      </c>
      <c r="C102" s="65" t="s">
        <v>3252</v>
      </c>
      <c r="D102" s="2" t="s">
        <v>19</v>
      </c>
      <c r="E102" s="70" t="s">
        <v>4051</v>
      </c>
      <c r="F102" s="42" t="s">
        <v>2374</v>
      </c>
      <c r="G102" s="2"/>
      <c r="H102" s="54" t="str">
        <f t="shared" si="1"/>
        <v>(P7)</v>
      </c>
      <c r="I102" s="54" t="str">
        <f>IFERROR(__xludf.DUMMYFUNCTION("concatenate(ARRAYFORMULA(""P"" &amp; SPLIT(J102, "","") &amp; "",""))"),"P7,")</f>
        <v>P7,</v>
      </c>
      <c r="J102" s="54" t="str">
        <f>IFERROR(__xludf.DUMMYFUNCTION("ArrayFormula(textjoin("", "",true,unique(trim(split(M102,"","")),true)))"),"7")</f>
        <v>7</v>
      </c>
      <c r="K102" s="65"/>
      <c r="L102" s="65"/>
      <c r="M102" s="54" t="str">
        <f t="shared" si="2"/>
        <v>07</v>
      </c>
      <c r="N102" s="71">
        <f>IFERROR(__xludf.DUMMYFUNCTION("countunique(split(M102, "", ""))"),1.0)</f>
        <v>1</v>
      </c>
      <c r="O102" s="71">
        <f>IFERROR(__xludf.DUMMYFUNCTION("countif(split(K102,"",""),C102)"),0.0)</f>
        <v>0</v>
      </c>
      <c r="P102" s="55" t="b">
        <f>IFERROR(__xludf.DUMMYFUNCTION("MIN(split(J102,"",""))&lt;=7"),TRUE)</f>
        <v>1</v>
      </c>
      <c r="Q102" s="55" t="b">
        <f>IFERROR(__xludf.DUMMYFUNCTION("max(split(J102,"",""))&gt;=8"),FALSE)</f>
        <v>0</v>
      </c>
      <c r="R102" s="55" t="b">
        <f t="shared" si="3"/>
        <v>0</v>
      </c>
      <c r="S102" s="2"/>
    </row>
    <row r="103">
      <c r="A103" s="65" t="s">
        <v>3074</v>
      </c>
      <c r="B103" s="42">
        <v>114.0</v>
      </c>
      <c r="C103" s="65" t="s">
        <v>3329</v>
      </c>
      <c r="D103" s="2" t="s">
        <v>19</v>
      </c>
      <c r="E103" s="70" t="s">
        <v>4052</v>
      </c>
      <c r="F103" s="42" t="s">
        <v>4053</v>
      </c>
      <c r="G103" s="2" t="s">
        <v>4054</v>
      </c>
      <c r="H103" s="54" t="str">
        <f t="shared" si="1"/>
        <v>(P8,P9,P10,P11)</v>
      </c>
      <c r="I103" s="54" t="str">
        <f>IFERROR(__xludf.DUMMYFUNCTION("concatenate(ARRAYFORMULA(""P"" &amp; SPLIT(J103, "","") &amp; "",""))"),"P8,P9,P10,P11,")</f>
        <v>P8,P9,P10,P11,</v>
      </c>
      <c r="J103" s="54" t="str">
        <f>IFERROR(__xludf.DUMMYFUNCTION("ArrayFormula(textjoin("", "",true,unique(trim(split(M103,"","")),true)))"),"8, 9, 10, 11")</f>
        <v>8, 9, 10, 11</v>
      </c>
      <c r="K103" s="65" t="s">
        <v>4055</v>
      </c>
      <c r="L103" s="65" t="s">
        <v>4056</v>
      </c>
      <c r="M103" s="54" t="str">
        <f t="shared" si="2"/>
        <v>08, 09, 10, 11</v>
      </c>
      <c r="N103" s="71">
        <f>IFERROR(__xludf.DUMMYFUNCTION("countunique(split(M103, "", ""))"),4.0)</f>
        <v>4</v>
      </c>
      <c r="O103" s="71">
        <f>IFERROR(__xludf.DUMMYFUNCTION("countif(split(K103,"",""),C103)"),0.0)</f>
        <v>0</v>
      </c>
      <c r="P103" s="55" t="b">
        <f>IFERROR(__xludf.DUMMYFUNCTION("MIN(split(J103,"",""))&lt;=7"),FALSE)</f>
        <v>0</v>
      </c>
      <c r="Q103" s="55" t="b">
        <f>IFERROR(__xludf.DUMMYFUNCTION("max(split(J103,"",""))&gt;=8"),TRUE)</f>
        <v>1</v>
      </c>
      <c r="R103" s="55" t="b">
        <f t="shared" si="3"/>
        <v>0</v>
      </c>
      <c r="S103" s="2"/>
    </row>
    <row r="104">
      <c r="A104" s="65" t="s">
        <v>3080</v>
      </c>
      <c r="B104" s="42">
        <v>115.0</v>
      </c>
      <c r="C104" s="65" t="s">
        <v>3329</v>
      </c>
      <c r="D104" s="2" t="s">
        <v>19</v>
      </c>
      <c r="E104" s="70" t="s">
        <v>4057</v>
      </c>
      <c r="F104" s="42" t="s">
        <v>4058</v>
      </c>
      <c r="G104" s="2" t="s">
        <v>4059</v>
      </c>
      <c r="H104" s="54" t="str">
        <f t="shared" si="1"/>
        <v>(P8,P9)</v>
      </c>
      <c r="I104" s="54" t="str">
        <f>IFERROR(__xludf.DUMMYFUNCTION("concatenate(ARRAYFORMULA(""P"" &amp; SPLIT(J104, "","") &amp; "",""))"),"P8,P9,")</f>
        <v>P8,P9,</v>
      </c>
      <c r="J104" s="54" t="str">
        <f>IFERROR(__xludf.DUMMYFUNCTION("ArrayFormula(textjoin("", "",true,unique(trim(split(M104,"","")),true)))"),"8, 9")</f>
        <v>8, 9</v>
      </c>
      <c r="K104" s="65" t="s">
        <v>4060</v>
      </c>
      <c r="L104" s="65" t="s">
        <v>4061</v>
      </c>
      <c r="M104" s="54" t="str">
        <f t="shared" si="2"/>
        <v>08, 08, 09</v>
      </c>
      <c r="N104" s="71">
        <f>IFERROR(__xludf.DUMMYFUNCTION("countunique(split(M104, "", ""))"),2.0)</f>
        <v>2</v>
      </c>
      <c r="O104" s="71">
        <f>IFERROR(__xludf.DUMMYFUNCTION("countif(split(K104,"",""),C104)"),1.0)</f>
        <v>1</v>
      </c>
      <c r="P104" s="55" t="b">
        <f>IFERROR(__xludf.DUMMYFUNCTION("MIN(split(J104,"",""))&lt;=7"),FALSE)</f>
        <v>0</v>
      </c>
      <c r="Q104" s="55" t="b">
        <f>IFERROR(__xludf.DUMMYFUNCTION("max(split(J104,"",""))&gt;=8"),TRUE)</f>
        <v>1</v>
      </c>
      <c r="R104" s="55" t="b">
        <f t="shared" si="3"/>
        <v>0</v>
      </c>
      <c r="S104" s="2"/>
    </row>
    <row r="105">
      <c r="A105" s="65" t="s">
        <v>3082</v>
      </c>
      <c r="B105" s="42">
        <v>116.0</v>
      </c>
      <c r="C105" s="65" t="s">
        <v>3329</v>
      </c>
      <c r="D105" s="2" t="s">
        <v>19</v>
      </c>
      <c r="E105" s="70" t="s">
        <v>4062</v>
      </c>
      <c r="F105" s="42" t="s">
        <v>4063</v>
      </c>
      <c r="G105" s="2" t="s">
        <v>4064</v>
      </c>
      <c r="H105" s="54" t="str">
        <f t="shared" si="1"/>
        <v>(P8,P9,P12)</v>
      </c>
      <c r="I105" s="54" t="str">
        <f>IFERROR(__xludf.DUMMYFUNCTION("concatenate(ARRAYFORMULA(""P"" &amp; SPLIT(J105, "","") &amp; "",""))"),"P8,P9,P12,")</f>
        <v>P8,P9,P12,</v>
      </c>
      <c r="J105" s="54" t="str">
        <f>IFERROR(__xludf.DUMMYFUNCTION("ArrayFormula(textjoin("", "",true,unique(trim(split(M105,"","")),true)))"),"8, 9, 12")</f>
        <v>8, 9, 12</v>
      </c>
      <c r="K105" s="65" t="s">
        <v>4065</v>
      </c>
      <c r="L105" s="65" t="s">
        <v>4066</v>
      </c>
      <c r="M105" s="54" t="str">
        <f t="shared" si="2"/>
        <v>08, 09, 09, 12, 12, 12</v>
      </c>
      <c r="N105" s="71">
        <f>IFERROR(__xludf.DUMMYFUNCTION("countunique(split(M105, "", ""))"),3.0)</f>
        <v>3</v>
      </c>
      <c r="O105" s="71">
        <f>IFERROR(__xludf.DUMMYFUNCTION("countif(split(K105,"",""),C105)"),0.0)</f>
        <v>0</v>
      </c>
      <c r="P105" s="55" t="b">
        <f>IFERROR(__xludf.DUMMYFUNCTION("MIN(split(J105,"",""))&lt;=7"),FALSE)</f>
        <v>0</v>
      </c>
      <c r="Q105" s="55" t="b">
        <f>IFERROR(__xludf.DUMMYFUNCTION("max(split(J105,"",""))&gt;=8"),TRUE)</f>
        <v>1</v>
      </c>
      <c r="R105" s="55" t="b">
        <f t="shared" si="3"/>
        <v>0</v>
      </c>
      <c r="S105" s="2"/>
    </row>
    <row r="106">
      <c r="A106" s="65" t="s">
        <v>3083</v>
      </c>
      <c r="B106" s="42">
        <v>117.0</v>
      </c>
      <c r="C106" s="48" t="s">
        <v>3329</v>
      </c>
      <c r="D106" s="2" t="s">
        <v>19</v>
      </c>
      <c r="E106" s="79" t="s">
        <v>4067</v>
      </c>
      <c r="F106" s="42" t="s">
        <v>4068</v>
      </c>
      <c r="G106" s="2" t="s">
        <v>4069</v>
      </c>
      <c r="H106" s="54" t="str">
        <f t="shared" si="1"/>
        <v>(P8,P12,P13)</v>
      </c>
      <c r="I106" s="54" t="str">
        <f>IFERROR(__xludf.DUMMYFUNCTION("concatenate(ARRAYFORMULA(""P"" &amp; SPLIT(J106, "","") &amp; "",""))"),"P8,P12,P13,")</f>
        <v>P8,P12,P13,</v>
      </c>
      <c r="J106" s="54" t="str">
        <f>IFERROR(__xludf.DUMMYFUNCTION("ArrayFormula(textjoin("", "",true,unique(trim(split(M106,"","")),true)))"),"8, 12, 13")</f>
        <v>8, 12, 13</v>
      </c>
      <c r="K106" s="65" t="s">
        <v>4070</v>
      </c>
      <c r="L106" s="65" t="s">
        <v>4071</v>
      </c>
      <c r="M106" s="54" t="str">
        <f t="shared" si="2"/>
        <v>08, 08, 08, 12, 13</v>
      </c>
      <c r="N106" s="71">
        <f>IFERROR(__xludf.DUMMYFUNCTION("countunique(split(M106, "", ""))"),3.0)</f>
        <v>3</v>
      </c>
      <c r="O106" s="71">
        <f>IFERROR(__xludf.DUMMYFUNCTION("countif(split(K106,"",""),C106)"),2.0)</f>
        <v>2</v>
      </c>
      <c r="P106" s="55" t="b">
        <f>IFERROR(__xludf.DUMMYFUNCTION("MIN(split(J106,"",""))&lt;=7"),FALSE)</f>
        <v>0</v>
      </c>
      <c r="Q106" s="55" t="b">
        <f>IFERROR(__xludf.DUMMYFUNCTION("max(split(J106,"",""))&gt;=8"),TRUE)</f>
        <v>1</v>
      </c>
      <c r="R106" s="55" t="b">
        <f t="shared" si="3"/>
        <v>0</v>
      </c>
      <c r="S106" s="2"/>
    </row>
    <row r="107">
      <c r="A107" s="65" t="s">
        <v>3087</v>
      </c>
      <c r="B107" s="42">
        <v>118.0</v>
      </c>
      <c r="C107" s="65" t="s">
        <v>3329</v>
      </c>
      <c r="D107" s="2" t="s">
        <v>19</v>
      </c>
      <c r="E107" s="70" t="s">
        <v>4072</v>
      </c>
      <c r="F107" s="42" t="s">
        <v>4073</v>
      </c>
      <c r="G107" s="2" t="s">
        <v>4074</v>
      </c>
      <c r="H107" s="54" t="str">
        <f t="shared" si="1"/>
        <v>(P8,P10)</v>
      </c>
      <c r="I107" s="54" t="str">
        <f>IFERROR(__xludf.DUMMYFUNCTION("concatenate(ARRAYFORMULA(""P"" &amp; SPLIT(J107, "","") &amp; "",""))"),"P8,P10,")</f>
        <v>P8,P10,</v>
      </c>
      <c r="J107" s="54" t="str">
        <f>IFERROR(__xludf.DUMMYFUNCTION("ArrayFormula(textjoin("", "",true,unique(trim(split(M107,"","")),true)))"),"8, 10")</f>
        <v>8, 10</v>
      </c>
      <c r="K107" s="65" t="s">
        <v>3995</v>
      </c>
      <c r="L107" s="65" t="s">
        <v>3596</v>
      </c>
      <c r="M107" s="54" t="str">
        <f t="shared" si="2"/>
        <v>08, 10</v>
      </c>
      <c r="N107" s="71">
        <f>IFERROR(__xludf.DUMMYFUNCTION("countunique(split(M107, "", ""))"),2.0)</f>
        <v>2</v>
      </c>
      <c r="O107" s="71">
        <f>IFERROR(__xludf.DUMMYFUNCTION("countif(split(K107,"",""),C107)"),0.0)</f>
        <v>0</v>
      </c>
      <c r="P107" s="55" t="b">
        <f>IFERROR(__xludf.DUMMYFUNCTION("MIN(split(J107,"",""))&lt;=7"),FALSE)</f>
        <v>0</v>
      </c>
      <c r="Q107" s="55" t="b">
        <f>IFERROR(__xludf.DUMMYFUNCTION("max(split(J107,"",""))&gt;=8"),TRUE)</f>
        <v>1</v>
      </c>
      <c r="R107" s="55" t="b">
        <f t="shared" si="3"/>
        <v>0</v>
      </c>
      <c r="S107" s="2"/>
    </row>
    <row r="108">
      <c r="A108" s="65" t="s">
        <v>3090</v>
      </c>
      <c r="B108" s="42">
        <v>119.0</v>
      </c>
      <c r="C108" s="48" t="s">
        <v>3329</v>
      </c>
      <c r="D108" s="2" t="s">
        <v>19</v>
      </c>
      <c r="E108" s="82" t="s">
        <v>2402</v>
      </c>
      <c r="F108" s="76" t="s">
        <v>2403</v>
      </c>
      <c r="G108" s="2"/>
      <c r="H108" s="54" t="str">
        <f t="shared" si="1"/>
        <v>(P8)</v>
      </c>
      <c r="I108" s="54" t="str">
        <f>IFERROR(__xludf.DUMMYFUNCTION("concatenate(ARRAYFORMULA(""P"" &amp; SPLIT(J108, "","") &amp; "",""))"),"P8,")</f>
        <v>P8,</v>
      </c>
      <c r="J108" s="54" t="str">
        <f>IFERROR(__xludf.DUMMYFUNCTION("ArrayFormula(textjoin("", "",true,unique(trim(split(M108,"","")),true)))"),"8")</f>
        <v>8</v>
      </c>
      <c r="K108" s="65"/>
      <c r="L108" s="65"/>
      <c r="M108" s="54" t="str">
        <f t="shared" si="2"/>
        <v>08</v>
      </c>
      <c r="N108" s="71">
        <f>IFERROR(__xludf.DUMMYFUNCTION("countunique(split(M108, "", ""))"),1.0)</f>
        <v>1</v>
      </c>
      <c r="O108" s="71">
        <f>IFERROR(__xludf.DUMMYFUNCTION("countif(split(K108,"",""),C108)"),0.0)</f>
        <v>0</v>
      </c>
      <c r="P108" s="55" t="b">
        <f>IFERROR(__xludf.DUMMYFUNCTION("MIN(split(J108,"",""))&lt;=7"),FALSE)</f>
        <v>0</v>
      </c>
      <c r="Q108" s="55" t="b">
        <f>IFERROR(__xludf.DUMMYFUNCTION("max(split(J108,"",""))&gt;=8"),TRUE)</f>
        <v>1</v>
      </c>
      <c r="R108" s="55" t="b">
        <f t="shared" si="3"/>
        <v>0</v>
      </c>
      <c r="S108" s="2"/>
    </row>
    <row r="109">
      <c r="A109" s="65" t="s">
        <v>3101</v>
      </c>
      <c r="B109" s="42">
        <v>120.0</v>
      </c>
      <c r="C109" s="65" t="s">
        <v>3329</v>
      </c>
      <c r="D109" s="2" t="s">
        <v>19</v>
      </c>
      <c r="E109" s="70" t="s">
        <v>4075</v>
      </c>
      <c r="F109" s="2" t="s">
        <v>4076</v>
      </c>
      <c r="G109" s="2" t="s">
        <v>4077</v>
      </c>
      <c r="H109" s="54" t="str">
        <f t="shared" si="1"/>
        <v>(P8)</v>
      </c>
      <c r="I109" s="54" t="str">
        <f>IFERROR(__xludf.DUMMYFUNCTION("concatenate(ARRAYFORMULA(""P"" &amp; SPLIT(J109, "","") &amp; "",""))"),"P8,")</f>
        <v>P8,</v>
      </c>
      <c r="J109" s="54" t="str">
        <f>IFERROR(__xludf.DUMMYFUNCTION("ArrayFormula(textjoin("", "",true,unique(trim(split(M109,"","")),true)))"),"8")</f>
        <v>8</v>
      </c>
      <c r="K109" s="65" t="s">
        <v>3329</v>
      </c>
      <c r="L109" s="65" t="s">
        <v>3103</v>
      </c>
      <c r="M109" s="54" t="str">
        <f t="shared" si="2"/>
        <v>08, 08</v>
      </c>
      <c r="N109" s="71">
        <f>IFERROR(__xludf.DUMMYFUNCTION("countunique(split(M109, "", ""))"),1.0)</f>
        <v>1</v>
      </c>
      <c r="O109" s="71">
        <f>IFERROR(__xludf.DUMMYFUNCTION("countif(split(K109,"",""),C109)"),1.0)</f>
        <v>1</v>
      </c>
      <c r="P109" s="55" t="b">
        <f>IFERROR(__xludf.DUMMYFUNCTION("MIN(split(J109,"",""))&lt;=7"),FALSE)</f>
        <v>0</v>
      </c>
      <c r="Q109" s="55" t="b">
        <f>IFERROR(__xludf.DUMMYFUNCTION("max(split(J109,"",""))&gt;=8"),TRUE)</f>
        <v>1</v>
      </c>
      <c r="R109" s="55" t="b">
        <f t="shared" si="3"/>
        <v>0</v>
      </c>
      <c r="S109" s="2"/>
    </row>
    <row r="110">
      <c r="A110" s="65" t="s">
        <v>3106</v>
      </c>
      <c r="B110" s="42">
        <v>121.0</v>
      </c>
      <c r="C110" s="65" t="s">
        <v>4078</v>
      </c>
      <c r="D110" s="2" t="s">
        <v>19</v>
      </c>
      <c r="E110" s="70" t="s">
        <v>4079</v>
      </c>
      <c r="F110" s="42" t="s">
        <v>4080</v>
      </c>
      <c r="G110" s="42" t="s">
        <v>4081</v>
      </c>
      <c r="H110" s="54" t="str">
        <f t="shared" si="1"/>
        <v>(P8,P10)</v>
      </c>
      <c r="I110" s="54" t="str">
        <f>IFERROR(__xludf.DUMMYFUNCTION("concatenate(ARRAYFORMULA(""P"" &amp; SPLIT(J110, "","") &amp; "",""))"),"P8,P10,")</f>
        <v>P8,P10,</v>
      </c>
      <c r="J110" s="54" t="str">
        <f>IFERROR(__xludf.DUMMYFUNCTION("ArrayFormula(textjoin("", "",true,unique(trim(split(M110,"","")),true)))"),"8, 10")</f>
        <v>8, 10</v>
      </c>
      <c r="K110" s="65" t="s">
        <v>3995</v>
      </c>
      <c r="L110" s="65" t="s">
        <v>3629</v>
      </c>
      <c r="M110" s="54" t="str">
        <f t="shared" si="2"/>
        <v>8, 10</v>
      </c>
      <c r="N110" s="71">
        <f>IFERROR(__xludf.DUMMYFUNCTION("countunique(split(M110, "", ""))"),2.0)</f>
        <v>2</v>
      </c>
      <c r="O110" s="71">
        <f>IFERROR(__xludf.DUMMYFUNCTION("countif(split(K110,"",""),C110)"),0.0)</f>
        <v>0</v>
      </c>
      <c r="P110" s="55" t="b">
        <f>IFERROR(__xludf.DUMMYFUNCTION("MIN(split(J110,"",""))&lt;=7"),FALSE)</f>
        <v>0</v>
      </c>
      <c r="Q110" s="55" t="b">
        <f>IFERROR(__xludf.DUMMYFUNCTION("max(split(J110,"",""))&gt;=8"),TRUE)</f>
        <v>1</v>
      </c>
      <c r="R110" s="55" t="b">
        <f t="shared" si="3"/>
        <v>0</v>
      </c>
      <c r="S110" s="2"/>
    </row>
    <row r="111">
      <c r="A111" s="65" t="s">
        <v>3108</v>
      </c>
      <c r="B111" s="42">
        <v>122.0</v>
      </c>
      <c r="C111" s="65" t="s">
        <v>4078</v>
      </c>
      <c r="D111" s="2" t="s">
        <v>19</v>
      </c>
      <c r="E111" s="70" t="s">
        <v>1084</v>
      </c>
      <c r="F111" s="42" t="s">
        <v>2422</v>
      </c>
      <c r="G111" s="2"/>
      <c r="H111" s="54" t="str">
        <f t="shared" si="1"/>
        <v>(P8)</v>
      </c>
      <c r="I111" s="54" t="str">
        <f>IFERROR(__xludf.DUMMYFUNCTION("concatenate(ARRAYFORMULA(""P"" &amp; SPLIT(J111, "","") &amp; "",""))"),"P8,")</f>
        <v>P8,</v>
      </c>
      <c r="J111" s="54" t="str">
        <f>IFERROR(__xludf.DUMMYFUNCTION("ArrayFormula(textjoin("", "",true,unique(trim(split(M111,"","")),true)))"),"8")</f>
        <v>8</v>
      </c>
      <c r="K111" s="65"/>
      <c r="L111" s="65"/>
      <c r="M111" s="54" t="str">
        <f t="shared" si="2"/>
        <v>8</v>
      </c>
      <c r="N111" s="71">
        <f>IFERROR(__xludf.DUMMYFUNCTION("countunique(split(M111, "", ""))"),1.0)</f>
        <v>1</v>
      </c>
      <c r="O111" s="71">
        <f>IFERROR(__xludf.DUMMYFUNCTION("countif(split(K111,"",""),C111)"),0.0)</f>
        <v>0</v>
      </c>
      <c r="P111" s="55" t="b">
        <f>IFERROR(__xludf.DUMMYFUNCTION("MIN(split(J111,"",""))&lt;=7"),FALSE)</f>
        <v>0</v>
      </c>
      <c r="Q111" s="55" t="b">
        <f>IFERROR(__xludf.DUMMYFUNCTION("max(split(J111,"",""))&gt;=8"),TRUE)</f>
        <v>1</v>
      </c>
      <c r="R111" s="55" t="b">
        <f t="shared" si="3"/>
        <v>0</v>
      </c>
      <c r="S111" s="2"/>
    </row>
    <row r="112">
      <c r="A112" s="65" t="s">
        <v>3109</v>
      </c>
      <c r="B112" s="42">
        <v>123.0</v>
      </c>
      <c r="C112" s="48" t="s">
        <v>4078</v>
      </c>
      <c r="D112" s="2" t="s">
        <v>19</v>
      </c>
      <c r="E112" s="79" t="s">
        <v>4082</v>
      </c>
      <c r="F112" s="2" t="s">
        <v>4083</v>
      </c>
      <c r="G112" s="3" t="s">
        <v>4084</v>
      </c>
      <c r="H112" s="54" t="str">
        <f t="shared" si="1"/>
        <v>(P8)</v>
      </c>
      <c r="I112" s="54" t="str">
        <f>IFERROR(__xludf.DUMMYFUNCTION("concatenate(ARRAYFORMULA(""P"" &amp; SPLIT(J112, "","") &amp; "",""))"),"P8,")</f>
        <v>P8,</v>
      </c>
      <c r="J112" s="54" t="str">
        <f>IFERROR(__xludf.DUMMYFUNCTION("ArrayFormula(textjoin("", "",true,unique(trim(split(M112,"","")),true)))"),"8")</f>
        <v>8</v>
      </c>
      <c r="K112" s="65" t="s">
        <v>3896</v>
      </c>
      <c r="L112" s="65" t="s">
        <v>4085</v>
      </c>
      <c r="M112" s="54" t="str">
        <f t="shared" si="2"/>
        <v>8, 08, 08</v>
      </c>
      <c r="N112" s="71">
        <f>IFERROR(__xludf.DUMMYFUNCTION("countunique(split(M112, "", ""))"),1.0)</f>
        <v>1</v>
      </c>
      <c r="O112" s="71">
        <f>IFERROR(__xludf.DUMMYFUNCTION("countif(split(K112,"",""),C112)"),2.0)</f>
        <v>2</v>
      </c>
      <c r="P112" s="55" t="b">
        <f>IFERROR(__xludf.DUMMYFUNCTION("MIN(split(J112,"",""))&lt;=7"),FALSE)</f>
        <v>0</v>
      </c>
      <c r="Q112" s="55" t="b">
        <f>IFERROR(__xludf.DUMMYFUNCTION("max(split(J112,"",""))&gt;=8"),TRUE)</f>
        <v>1</v>
      </c>
      <c r="R112" s="55" t="b">
        <f t="shared" si="3"/>
        <v>0</v>
      </c>
      <c r="S112" s="2"/>
    </row>
    <row r="113">
      <c r="A113" s="65" t="s">
        <v>3115</v>
      </c>
      <c r="B113" s="42">
        <v>124.0</v>
      </c>
      <c r="C113" s="65" t="s">
        <v>4078</v>
      </c>
      <c r="D113" s="2" t="s">
        <v>19</v>
      </c>
      <c r="E113" s="70" t="s">
        <v>4086</v>
      </c>
      <c r="F113" s="42" t="s">
        <v>4087</v>
      </c>
      <c r="G113" s="83" t="s">
        <v>2588</v>
      </c>
      <c r="H113" s="54" t="str">
        <f t="shared" si="1"/>
        <v>(P8,P10,P14)</v>
      </c>
      <c r="I113" s="54" t="str">
        <f>IFERROR(__xludf.DUMMYFUNCTION("concatenate(ARRAYFORMULA(""P"" &amp; SPLIT(J113, "","") &amp; "",""))"),"P8,P10,P14,")</f>
        <v>P8,P10,P14,</v>
      </c>
      <c r="J113" s="54" t="str">
        <f>IFERROR(__xludf.DUMMYFUNCTION("ArrayFormula(textjoin("", "",true,unique(trim(split(M113,"","")),true)))"),"8, 10, 14")</f>
        <v>8, 10, 14</v>
      </c>
      <c r="K113" s="65" t="s">
        <v>4088</v>
      </c>
      <c r="L113" s="65" t="s">
        <v>4089</v>
      </c>
      <c r="M113" s="54" t="str">
        <f t="shared" si="2"/>
        <v>8, 10, 14, 14</v>
      </c>
      <c r="N113" s="71">
        <f>IFERROR(__xludf.DUMMYFUNCTION("countunique(split(M113, "", ""))"),3.0)</f>
        <v>3</v>
      </c>
      <c r="O113" s="71">
        <f>IFERROR(__xludf.DUMMYFUNCTION("countif(split(K113,"",""),C113)"),0.0)</f>
        <v>0</v>
      </c>
      <c r="P113" s="55" t="b">
        <f>IFERROR(__xludf.DUMMYFUNCTION("MIN(split(J113,"",""))&lt;=7"),FALSE)</f>
        <v>0</v>
      </c>
      <c r="Q113" s="55" t="b">
        <f>IFERROR(__xludf.DUMMYFUNCTION("max(split(J113,"",""))&gt;=8"),TRUE)</f>
        <v>1</v>
      </c>
      <c r="R113" s="55" t="b">
        <f t="shared" si="3"/>
        <v>0</v>
      </c>
      <c r="S113" s="2"/>
    </row>
    <row r="114">
      <c r="A114" s="65" t="s">
        <v>3117</v>
      </c>
      <c r="B114" s="42">
        <v>125.0</v>
      </c>
      <c r="C114" s="65" t="s">
        <v>4078</v>
      </c>
      <c r="D114" s="2" t="s">
        <v>19</v>
      </c>
      <c r="E114" s="70" t="s">
        <v>4090</v>
      </c>
      <c r="F114" s="42" t="s">
        <v>4091</v>
      </c>
      <c r="G114" s="42" t="s">
        <v>4092</v>
      </c>
      <c r="H114" s="54" t="str">
        <f t="shared" si="1"/>
        <v>(P8,P11)</v>
      </c>
      <c r="I114" s="54" t="str">
        <f>IFERROR(__xludf.DUMMYFUNCTION("concatenate(ARRAYFORMULA(""P"" &amp; SPLIT(J114, "","") &amp; "",""))"),"P8,P11,")</f>
        <v>P8,P11,</v>
      </c>
      <c r="J114" s="54" t="str">
        <f>IFERROR(__xludf.DUMMYFUNCTION("ArrayFormula(textjoin("", "",true,unique(trim(split(M114,"","")),true)))"),"8, 11")</f>
        <v>8, 11</v>
      </c>
      <c r="K114" s="65" t="s">
        <v>3312</v>
      </c>
      <c r="L114" s="65" t="s">
        <v>3653</v>
      </c>
      <c r="M114" s="54" t="str">
        <f t="shared" si="2"/>
        <v>8, 11</v>
      </c>
      <c r="N114" s="71">
        <f>IFERROR(__xludf.DUMMYFUNCTION("countunique(split(M114, "", ""))"),2.0)</f>
        <v>2</v>
      </c>
      <c r="O114" s="71">
        <f>IFERROR(__xludf.DUMMYFUNCTION("countif(split(K114,"",""),C114)"),0.0)</f>
        <v>0</v>
      </c>
      <c r="P114" s="55" t="b">
        <f>IFERROR(__xludf.DUMMYFUNCTION("MIN(split(J114,"",""))&lt;=7"),FALSE)</f>
        <v>0</v>
      </c>
      <c r="Q114" s="55" t="b">
        <f>IFERROR(__xludf.DUMMYFUNCTION("max(split(J114,"",""))&gt;=8"),TRUE)</f>
        <v>1</v>
      </c>
      <c r="R114" s="55" t="b">
        <f t="shared" si="3"/>
        <v>0</v>
      </c>
      <c r="S114" s="2"/>
    </row>
    <row r="115">
      <c r="A115" s="65" t="s">
        <v>3119</v>
      </c>
      <c r="B115" s="42">
        <v>126.0</v>
      </c>
      <c r="C115" s="65" t="s">
        <v>4078</v>
      </c>
      <c r="D115" s="2" t="s">
        <v>19</v>
      </c>
      <c r="E115" s="70" t="s">
        <v>4093</v>
      </c>
      <c r="F115" s="2" t="s">
        <v>4094</v>
      </c>
      <c r="G115" s="2" t="s">
        <v>4095</v>
      </c>
      <c r="H115" s="54" t="str">
        <f t="shared" si="1"/>
        <v>(P8,P12,P13,P14)</v>
      </c>
      <c r="I115" s="54" t="str">
        <f>IFERROR(__xludf.DUMMYFUNCTION("concatenate(ARRAYFORMULA(""P"" &amp; SPLIT(J115, "","") &amp; "",""))"),"P8,P12,P13,P14,")</f>
        <v>P8,P12,P13,P14,</v>
      </c>
      <c r="J115" s="54" t="str">
        <f>IFERROR(__xludf.DUMMYFUNCTION("ArrayFormula(textjoin("", "",true,unique(trim(split(M115,"","")),true)))"),"8, 12, 13, 14")</f>
        <v>8, 12, 13, 14</v>
      </c>
      <c r="K115" s="65" t="s">
        <v>4096</v>
      </c>
      <c r="L115" s="65" t="s">
        <v>4097</v>
      </c>
      <c r="M115" s="54" t="str">
        <f t="shared" si="2"/>
        <v>8, 12, 12, 13, 13, 14, 14</v>
      </c>
      <c r="N115" s="71">
        <f>IFERROR(__xludf.DUMMYFUNCTION("countunique(split(M115, "", ""))"),4.0)</f>
        <v>4</v>
      </c>
      <c r="O115" s="71">
        <f>IFERROR(__xludf.DUMMYFUNCTION("countif(split(K115,"",""),C115)"),0.0)</f>
        <v>0</v>
      </c>
      <c r="P115" s="55" t="b">
        <f>IFERROR(__xludf.DUMMYFUNCTION("MIN(split(J115,"",""))&lt;=7"),FALSE)</f>
        <v>0</v>
      </c>
      <c r="Q115" s="55" t="b">
        <f>IFERROR(__xludf.DUMMYFUNCTION("max(split(J115,"",""))&gt;=8"),TRUE)</f>
        <v>1</v>
      </c>
      <c r="R115" s="55" t="b">
        <f t="shared" si="3"/>
        <v>0</v>
      </c>
      <c r="S115" s="2"/>
    </row>
    <row r="116">
      <c r="A116" s="65" t="s">
        <v>3123</v>
      </c>
      <c r="B116" s="42">
        <v>127.0</v>
      </c>
      <c r="C116" s="65">
        <v>8.0</v>
      </c>
      <c r="D116" s="2" t="s">
        <v>19</v>
      </c>
      <c r="E116" s="70" t="s">
        <v>518</v>
      </c>
      <c r="F116" s="42" t="s">
        <v>2437</v>
      </c>
      <c r="G116" s="42"/>
      <c r="H116" s="54" t="str">
        <f t="shared" si="1"/>
        <v>(P8)</v>
      </c>
      <c r="I116" s="54" t="str">
        <f>IFERROR(__xludf.DUMMYFUNCTION("concatenate(ARRAYFORMULA(""P"" &amp; SPLIT(J116, "","") &amp; "",""))"),"P8,")</f>
        <v>P8,</v>
      </c>
      <c r="J116" s="54" t="str">
        <f>IFERROR(__xludf.DUMMYFUNCTION("ArrayFormula(textjoin("", "",true,unique(trim(split(M116,"","")),true)))"),"8")</f>
        <v>8</v>
      </c>
      <c r="K116" s="65"/>
      <c r="L116" s="65"/>
      <c r="M116" s="54">
        <f t="shared" si="2"/>
        <v>8</v>
      </c>
      <c r="N116" s="71">
        <f>IFERROR(__xludf.DUMMYFUNCTION("countunique(split(M116, "", ""))"),1.0)</f>
        <v>1</v>
      </c>
      <c r="O116" s="71">
        <f>IFERROR(__xludf.DUMMYFUNCTION("countif(split(K116,"",""),C116)"),0.0)</f>
        <v>0</v>
      </c>
      <c r="P116" s="55" t="b">
        <f>IFERROR(__xludf.DUMMYFUNCTION("MIN(split(J116,"",""))&lt;=7"),FALSE)</f>
        <v>0</v>
      </c>
      <c r="Q116" s="55" t="b">
        <f>IFERROR(__xludf.DUMMYFUNCTION("max(split(J116,"",""))&gt;=8"),TRUE)</f>
        <v>1</v>
      </c>
      <c r="R116" s="55" t="b">
        <f t="shared" si="3"/>
        <v>0</v>
      </c>
      <c r="S116" s="2"/>
    </row>
    <row r="117">
      <c r="A117" s="65" t="s">
        <v>3127</v>
      </c>
      <c r="B117" s="42">
        <v>128.0</v>
      </c>
      <c r="C117" s="65" t="s">
        <v>4078</v>
      </c>
      <c r="D117" s="2" t="s">
        <v>19</v>
      </c>
      <c r="E117" s="70" t="s">
        <v>4098</v>
      </c>
      <c r="F117" s="42" t="s">
        <v>4099</v>
      </c>
      <c r="G117" s="2" t="s">
        <v>2442</v>
      </c>
      <c r="H117" s="54" t="str">
        <f t="shared" si="1"/>
        <v>(P8,P12)</v>
      </c>
      <c r="I117" s="54" t="str">
        <f>IFERROR(__xludf.DUMMYFUNCTION("concatenate(ARRAYFORMULA(""P"" &amp; SPLIT(J117, "","") &amp; "",""))"),"P8,P12,")</f>
        <v>P8,P12,</v>
      </c>
      <c r="J117" s="54" t="str">
        <f>IFERROR(__xludf.DUMMYFUNCTION("ArrayFormula(textjoin("", "",true,unique(trim(split(M117,"","")),true)))"),"8, 12")</f>
        <v>8, 12</v>
      </c>
      <c r="K117" s="65" t="s">
        <v>4100</v>
      </c>
      <c r="L117" s="65" t="s">
        <v>4101</v>
      </c>
      <c r="M117" s="54" t="str">
        <f t="shared" si="2"/>
        <v>8, 08, 12, 12, 12</v>
      </c>
      <c r="N117" s="71">
        <f>IFERROR(__xludf.DUMMYFUNCTION("countunique(split(M117, "", ""))"),2.0)</f>
        <v>2</v>
      </c>
      <c r="O117" s="71">
        <f>IFERROR(__xludf.DUMMYFUNCTION("countif(split(K117,"",""),C117)"),1.0)</f>
        <v>1</v>
      </c>
      <c r="P117" s="55" t="b">
        <f>IFERROR(__xludf.DUMMYFUNCTION("MIN(split(J117,"",""))&lt;=7"),FALSE)</f>
        <v>0</v>
      </c>
      <c r="Q117" s="55" t="b">
        <f>IFERROR(__xludf.DUMMYFUNCTION("max(split(J117,"",""))&gt;=8"),TRUE)</f>
        <v>1</v>
      </c>
      <c r="R117" s="55" t="b">
        <f t="shared" si="3"/>
        <v>0</v>
      </c>
      <c r="S117" s="2"/>
    </row>
    <row r="118">
      <c r="A118" s="65" t="s">
        <v>3132</v>
      </c>
      <c r="B118" s="42">
        <v>129.0</v>
      </c>
      <c r="C118" s="65" t="s">
        <v>4078</v>
      </c>
      <c r="D118" s="2" t="s">
        <v>19</v>
      </c>
      <c r="E118" s="70" t="s">
        <v>4102</v>
      </c>
      <c r="F118" s="42" t="s">
        <v>4103</v>
      </c>
      <c r="G118" s="2"/>
      <c r="H118" s="54" t="str">
        <f t="shared" si="1"/>
        <v>(P8,P9,P10)</v>
      </c>
      <c r="I118" s="54" t="str">
        <f>IFERROR(__xludf.DUMMYFUNCTION("concatenate(ARRAYFORMULA(""P"" &amp; SPLIT(J118, "","") &amp; "",""))"),"P8,P9,P10,")</f>
        <v>P8,P9,P10,</v>
      </c>
      <c r="J118" s="54" t="str">
        <f>IFERROR(__xludf.DUMMYFUNCTION("ArrayFormula(textjoin("", "",true,unique(trim(split(M118,"","")),true)))"),"8, 9, 10")</f>
        <v>8, 9, 10</v>
      </c>
      <c r="K118" s="65" t="s">
        <v>3210</v>
      </c>
      <c r="L118" s="65" t="s">
        <v>4104</v>
      </c>
      <c r="M118" s="54" t="str">
        <f t="shared" si="2"/>
        <v>8, 09, 10, 10</v>
      </c>
      <c r="N118" s="71">
        <f>IFERROR(__xludf.DUMMYFUNCTION("countunique(split(M118, "", ""))"),3.0)</f>
        <v>3</v>
      </c>
      <c r="O118" s="71">
        <f>IFERROR(__xludf.DUMMYFUNCTION("countif(split(K118,"",""),C118)"),0.0)</f>
        <v>0</v>
      </c>
      <c r="P118" s="55" t="b">
        <f>IFERROR(__xludf.DUMMYFUNCTION("MIN(split(J118,"",""))&lt;=7"),FALSE)</f>
        <v>0</v>
      </c>
      <c r="Q118" s="55" t="b">
        <f>IFERROR(__xludf.DUMMYFUNCTION("max(split(J118,"",""))&gt;=8"),TRUE)</f>
        <v>1</v>
      </c>
      <c r="R118" s="55" t="b">
        <f t="shared" si="3"/>
        <v>0</v>
      </c>
      <c r="S118" s="2"/>
    </row>
    <row r="119">
      <c r="A119" s="65" t="s">
        <v>3135</v>
      </c>
      <c r="B119" s="42">
        <v>130.0</v>
      </c>
      <c r="C119" s="65" t="s">
        <v>4078</v>
      </c>
      <c r="D119" s="2" t="s">
        <v>19</v>
      </c>
      <c r="E119" s="70" t="s">
        <v>4105</v>
      </c>
      <c r="F119" s="42" t="s">
        <v>4106</v>
      </c>
      <c r="G119" s="2" t="s">
        <v>4107</v>
      </c>
      <c r="H119" s="54" t="str">
        <f t="shared" si="1"/>
        <v>(P8,P13)</v>
      </c>
      <c r="I119" s="54" t="str">
        <f>IFERROR(__xludf.DUMMYFUNCTION("concatenate(ARRAYFORMULA(""P"" &amp; SPLIT(J119, "","") &amp; "",""))"),"P8,P13,")</f>
        <v>P8,P13,</v>
      </c>
      <c r="J119" s="54" t="str">
        <f>IFERROR(__xludf.DUMMYFUNCTION("ArrayFormula(textjoin("", "",true,unique(trim(split(M119,"","")),true)))"),"8, 13")</f>
        <v>8, 13</v>
      </c>
      <c r="K119" s="65" t="s">
        <v>4016</v>
      </c>
      <c r="L119" s="65" t="s">
        <v>3788</v>
      </c>
      <c r="M119" s="54" t="str">
        <f t="shared" si="2"/>
        <v>8, 13</v>
      </c>
      <c r="N119" s="71">
        <f>IFERROR(__xludf.DUMMYFUNCTION("countunique(split(M119, "", ""))"),2.0)</f>
        <v>2</v>
      </c>
      <c r="O119" s="71">
        <f>IFERROR(__xludf.DUMMYFUNCTION("countif(split(K119,"",""),C119)"),0.0)</f>
        <v>0</v>
      </c>
      <c r="P119" s="55" t="b">
        <f>IFERROR(__xludf.DUMMYFUNCTION("MIN(split(J119,"",""))&lt;=7"),FALSE)</f>
        <v>0</v>
      </c>
      <c r="Q119" s="55" t="b">
        <f>IFERROR(__xludf.DUMMYFUNCTION("max(split(J119,"",""))&gt;=8"),TRUE)</f>
        <v>1</v>
      </c>
      <c r="R119" s="55" t="b">
        <f t="shared" si="3"/>
        <v>0</v>
      </c>
      <c r="S119" s="2"/>
    </row>
    <row r="120">
      <c r="A120" s="65" t="s">
        <v>3137</v>
      </c>
      <c r="B120" s="42">
        <v>131.0</v>
      </c>
      <c r="C120" s="65" t="s">
        <v>4078</v>
      </c>
      <c r="D120" s="2" t="s">
        <v>19</v>
      </c>
      <c r="E120" s="70" t="s">
        <v>1577</v>
      </c>
      <c r="F120" s="2" t="s">
        <v>1578</v>
      </c>
      <c r="G120" s="2"/>
      <c r="H120" s="54" t="str">
        <f t="shared" si="1"/>
        <v>(P8)</v>
      </c>
      <c r="I120" s="54" t="str">
        <f>IFERROR(__xludf.DUMMYFUNCTION("concatenate(ARRAYFORMULA(""P"" &amp; SPLIT(J120, "","") &amp; "",""))"),"P8,")</f>
        <v>P8,</v>
      </c>
      <c r="J120" s="54" t="str">
        <f>IFERROR(__xludf.DUMMYFUNCTION("ArrayFormula(textjoin("", "",true,unique(trim(split(M120,"","")),true)))"),"8")</f>
        <v>8</v>
      </c>
      <c r="K120" s="65"/>
      <c r="L120" s="65"/>
      <c r="M120" s="54" t="str">
        <f t="shared" si="2"/>
        <v>8</v>
      </c>
      <c r="N120" s="71">
        <f>IFERROR(__xludf.DUMMYFUNCTION("countunique(split(M120, "", ""))"),1.0)</f>
        <v>1</v>
      </c>
      <c r="O120" s="71">
        <f>IFERROR(__xludf.DUMMYFUNCTION("countif(split(K120,"",""),C120)"),0.0)</f>
        <v>0</v>
      </c>
      <c r="P120" s="55" t="b">
        <f>IFERROR(__xludf.DUMMYFUNCTION("MIN(split(J120,"",""))&lt;=7"),FALSE)</f>
        <v>0</v>
      </c>
      <c r="Q120" s="55" t="b">
        <f>IFERROR(__xludf.DUMMYFUNCTION("max(split(J120,"",""))&gt;=8"),TRUE)</f>
        <v>1</v>
      </c>
      <c r="R120" s="55" t="b">
        <f t="shared" si="3"/>
        <v>0</v>
      </c>
      <c r="S120" s="2"/>
    </row>
    <row r="121">
      <c r="A121" s="65" t="s">
        <v>3138</v>
      </c>
      <c r="B121" s="42">
        <v>132.0</v>
      </c>
      <c r="C121" s="65" t="s">
        <v>4078</v>
      </c>
      <c r="D121" s="2" t="s">
        <v>19</v>
      </c>
      <c r="E121" s="70" t="s">
        <v>1575</v>
      </c>
      <c r="F121" s="2" t="s">
        <v>2458</v>
      </c>
      <c r="G121" s="2"/>
      <c r="H121" s="54" t="str">
        <f t="shared" si="1"/>
        <v>(P8)</v>
      </c>
      <c r="I121" s="54" t="str">
        <f>IFERROR(__xludf.DUMMYFUNCTION("concatenate(ARRAYFORMULA(""P"" &amp; SPLIT(J121, "","") &amp; "",""))"),"P8,")</f>
        <v>P8,</v>
      </c>
      <c r="J121" s="54" t="str">
        <f>IFERROR(__xludf.DUMMYFUNCTION("ArrayFormula(textjoin("", "",true,unique(trim(split(M121,"","")),true)))"),"8")</f>
        <v>8</v>
      </c>
      <c r="K121" s="65"/>
      <c r="L121" s="65"/>
      <c r="M121" s="54" t="str">
        <f t="shared" si="2"/>
        <v>8</v>
      </c>
      <c r="N121" s="71">
        <f>IFERROR(__xludf.DUMMYFUNCTION("countunique(split(M121, "", ""))"),1.0)</f>
        <v>1</v>
      </c>
      <c r="O121" s="71">
        <f>IFERROR(__xludf.DUMMYFUNCTION("countif(split(K121,"",""),C121)"),0.0)</f>
        <v>0</v>
      </c>
      <c r="P121" s="55" t="b">
        <f>IFERROR(__xludf.DUMMYFUNCTION("MIN(split(J121,"",""))&lt;=7"),FALSE)</f>
        <v>0</v>
      </c>
      <c r="Q121" s="55" t="b">
        <f>IFERROR(__xludf.DUMMYFUNCTION("max(split(J121,"",""))&gt;=8"),TRUE)</f>
        <v>1</v>
      </c>
      <c r="R121" s="55" t="b">
        <f t="shared" si="3"/>
        <v>0</v>
      </c>
      <c r="S121" s="2"/>
    </row>
    <row r="122">
      <c r="A122" s="65" t="s">
        <v>3142</v>
      </c>
      <c r="B122" s="42">
        <v>133.0</v>
      </c>
      <c r="C122" s="84">
        <v>8.0</v>
      </c>
      <c r="D122" s="2" t="s">
        <v>19</v>
      </c>
      <c r="E122" s="79" t="s">
        <v>4108</v>
      </c>
      <c r="F122" s="42" t="s">
        <v>4109</v>
      </c>
      <c r="G122" s="2" t="s">
        <v>4110</v>
      </c>
      <c r="H122" s="54" t="str">
        <f t="shared" si="1"/>
        <v>(P8,P12)</v>
      </c>
      <c r="I122" s="54" t="str">
        <f>IFERROR(__xludf.DUMMYFUNCTION("concatenate(ARRAYFORMULA(""P"" &amp; SPLIT(J122, "","") &amp; "",""))"),"P8,P12,")</f>
        <v>P8,P12,</v>
      </c>
      <c r="J122" s="54" t="str">
        <f>IFERROR(__xludf.DUMMYFUNCTION("ArrayFormula(textjoin("", "",true,unique(trim(split(M122,"","")),true)))"),"8, 12")</f>
        <v>8, 12</v>
      </c>
      <c r="K122" s="65" t="s">
        <v>4111</v>
      </c>
      <c r="L122" s="65" t="s">
        <v>4112</v>
      </c>
      <c r="M122" s="54" t="str">
        <f t="shared" si="2"/>
        <v>8, 12, 12, 12</v>
      </c>
      <c r="N122" s="71">
        <f>IFERROR(__xludf.DUMMYFUNCTION("countunique(split(M122, "", ""))"),2.0)</f>
        <v>2</v>
      </c>
      <c r="O122" s="71">
        <f>IFERROR(__xludf.DUMMYFUNCTION("countif(split(K122,"",""),C122)"),0.0)</f>
        <v>0</v>
      </c>
      <c r="P122" s="55" t="b">
        <f>IFERROR(__xludf.DUMMYFUNCTION("MIN(split(J122,"",""))&lt;=7"),FALSE)</f>
        <v>0</v>
      </c>
      <c r="Q122" s="55" t="b">
        <f>IFERROR(__xludf.DUMMYFUNCTION("max(split(J122,"",""))&gt;=8"),TRUE)</f>
        <v>1</v>
      </c>
      <c r="R122" s="55" t="b">
        <f t="shared" si="3"/>
        <v>0</v>
      </c>
      <c r="S122" s="2"/>
    </row>
    <row r="123">
      <c r="A123" s="65" t="s">
        <v>3144</v>
      </c>
      <c r="B123" s="42">
        <v>134.0</v>
      </c>
      <c r="C123" s="65" t="s">
        <v>4078</v>
      </c>
      <c r="D123" s="2" t="s">
        <v>19</v>
      </c>
      <c r="E123" s="70" t="s">
        <v>4113</v>
      </c>
      <c r="F123" s="2" t="s">
        <v>2461</v>
      </c>
      <c r="G123" s="2"/>
      <c r="H123" s="54" t="str">
        <f t="shared" si="1"/>
        <v>(P8)</v>
      </c>
      <c r="I123" s="54" t="str">
        <f>IFERROR(__xludf.DUMMYFUNCTION("concatenate(ARRAYFORMULA(""P"" &amp; SPLIT(J123, "","") &amp; "",""))"),"P8,")</f>
        <v>P8,</v>
      </c>
      <c r="J123" s="54" t="str">
        <f>IFERROR(__xludf.DUMMYFUNCTION("ArrayFormula(textjoin("", "",true,unique(trim(split(M123,"","")),true)))"),"8")</f>
        <v>8</v>
      </c>
      <c r="K123" s="65"/>
      <c r="L123" s="65"/>
      <c r="M123" s="54" t="str">
        <f t="shared" si="2"/>
        <v>8</v>
      </c>
      <c r="N123" s="71">
        <f>IFERROR(__xludf.DUMMYFUNCTION("countunique(split(M123, "", ""))"),1.0)</f>
        <v>1</v>
      </c>
      <c r="O123" s="71">
        <f>IFERROR(__xludf.DUMMYFUNCTION("countif(split(K123,"",""),C123)"),0.0)</f>
        <v>0</v>
      </c>
      <c r="P123" s="55" t="b">
        <f>IFERROR(__xludf.DUMMYFUNCTION("MIN(split(J123,"",""))&lt;=7"),FALSE)</f>
        <v>0</v>
      </c>
      <c r="Q123" s="55" t="b">
        <f>IFERROR(__xludf.DUMMYFUNCTION("max(split(J123,"",""))&gt;=8"),TRUE)</f>
        <v>1</v>
      </c>
      <c r="R123" s="55" t="b">
        <f t="shared" si="3"/>
        <v>0</v>
      </c>
      <c r="S123" s="2"/>
    </row>
    <row r="124">
      <c r="A124" s="65" t="s">
        <v>3149</v>
      </c>
      <c r="B124" s="42">
        <v>136.0</v>
      </c>
      <c r="C124" s="65" t="s">
        <v>4114</v>
      </c>
      <c r="D124" s="2" t="s">
        <v>19</v>
      </c>
      <c r="E124" s="70" t="s">
        <v>558</v>
      </c>
      <c r="F124" s="2" t="s">
        <v>2472</v>
      </c>
      <c r="G124" s="2"/>
      <c r="H124" s="54" t="str">
        <f t="shared" si="1"/>
        <v>(P9)</v>
      </c>
      <c r="I124" s="54" t="str">
        <f>IFERROR(__xludf.DUMMYFUNCTION("concatenate(ARRAYFORMULA(""P"" &amp; SPLIT(J124, "","") &amp; "",""))"),"P9,")</f>
        <v>P9,</v>
      </c>
      <c r="J124" s="54" t="str">
        <f>IFERROR(__xludf.DUMMYFUNCTION("ArrayFormula(textjoin("", "",true,unique(trim(split(M124,"","")),true)))"),"9")</f>
        <v>9</v>
      </c>
      <c r="K124" s="65"/>
      <c r="L124" s="65"/>
      <c r="M124" s="54" t="str">
        <f t="shared" si="2"/>
        <v>9</v>
      </c>
      <c r="N124" s="71">
        <f>IFERROR(__xludf.DUMMYFUNCTION("countunique(split(M124, "", ""))"),1.0)</f>
        <v>1</v>
      </c>
      <c r="O124" s="71">
        <f>IFERROR(__xludf.DUMMYFUNCTION("countif(split(K124,"",""),C124)"),0.0)</f>
        <v>0</v>
      </c>
      <c r="P124" s="55" t="b">
        <f>IFERROR(__xludf.DUMMYFUNCTION("MIN(split(J124,"",""))&lt;=7"),FALSE)</f>
        <v>0</v>
      </c>
      <c r="Q124" s="55" t="b">
        <f>IFERROR(__xludf.DUMMYFUNCTION("max(split(J124,"",""))&gt;=8"),TRUE)</f>
        <v>1</v>
      </c>
      <c r="R124" s="55" t="b">
        <f t="shared" si="3"/>
        <v>0</v>
      </c>
      <c r="S124" s="2"/>
    </row>
    <row r="125">
      <c r="A125" s="65" t="s">
        <v>3150</v>
      </c>
      <c r="B125" s="42">
        <v>137.0</v>
      </c>
      <c r="C125" s="65" t="s">
        <v>4114</v>
      </c>
      <c r="D125" s="2" t="s">
        <v>19</v>
      </c>
      <c r="E125" s="70" t="s">
        <v>4115</v>
      </c>
      <c r="F125" s="2" t="s">
        <v>4116</v>
      </c>
      <c r="G125" s="2" t="s">
        <v>2653</v>
      </c>
      <c r="H125" s="54" t="str">
        <f t="shared" si="1"/>
        <v>(P9,P12)</v>
      </c>
      <c r="I125" s="54" t="str">
        <f>IFERROR(__xludf.DUMMYFUNCTION("concatenate(ARRAYFORMULA(""P"" &amp; SPLIT(J125, "","") &amp; "",""))"),"P9,P12,")</f>
        <v>P9,P12,</v>
      </c>
      <c r="J125" s="54" t="str">
        <f>IFERROR(__xludf.DUMMYFUNCTION("ArrayFormula(textjoin("", "",true,unique(trim(split(M125,"","")),true)))"),"9, 12")</f>
        <v>9, 12</v>
      </c>
      <c r="K125" s="65" t="s">
        <v>4111</v>
      </c>
      <c r="L125" s="65" t="s">
        <v>4117</v>
      </c>
      <c r="M125" s="54" t="str">
        <f t="shared" si="2"/>
        <v>9, 12, 12, 12</v>
      </c>
      <c r="N125" s="71">
        <f>IFERROR(__xludf.DUMMYFUNCTION("countunique(split(M125, "", ""))"),2.0)</f>
        <v>2</v>
      </c>
      <c r="O125" s="71">
        <f>IFERROR(__xludf.DUMMYFUNCTION("countif(split(K125,"",""),C125)"),0.0)</f>
        <v>0</v>
      </c>
      <c r="P125" s="55" t="b">
        <f>IFERROR(__xludf.DUMMYFUNCTION("MIN(split(J125,"",""))&lt;=7"),FALSE)</f>
        <v>0</v>
      </c>
      <c r="Q125" s="55" t="b">
        <f>IFERROR(__xludf.DUMMYFUNCTION("max(split(J125,"",""))&gt;=8"),TRUE)</f>
        <v>1</v>
      </c>
      <c r="R125" s="55" t="b">
        <f t="shared" si="3"/>
        <v>0</v>
      </c>
      <c r="S125" s="2"/>
    </row>
    <row r="126">
      <c r="A126" s="65" t="s">
        <v>3153</v>
      </c>
      <c r="B126" s="42">
        <v>138.0</v>
      </c>
      <c r="C126" s="84">
        <v>9.0</v>
      </c>
      <c r="D126" s="2" t="s">
        <v>19</v>
      </c>
      <c r="E126" s="82" t="s">
        <v>2487</v>
      </c>
      <c r="F126" s="22" t="s">
        <v>2488</v>
      </c>
      <c r="G126" s="2"/>
      <c r="H126" s="54" t="str">
        <f t="shared" si="1"/>
        <v>(P9)</v>
      </c>
      <c r="I126" s="54" t="str">
        <f>IFERROR(__xludf.DUMMYFUNCTION("concatenate(ARRAYFORMULA(""P"" &amp; SPLIT(J126, "","") &amp; "",""))"),"P9,")</f>
        <v>P9,</v>
      </c>
      <c r="J126" s="54" t="str">
        <f>IFERROR(__xludf.DUMMYFUNCTION("ArrayFormula(textjoin("", "",true,unique(trim(split(M126,"","")),true)))"),"9")</f>
        <v>9</v>
      </c>
      <c r="K126" s="65"/>
      <c r="L126" s="65"/>
      <c r="M126" s="54">
        <f t="shared" si="2"/>
        <v>9</v>
      </c>
      <c r="N126" s="71">
        <f>IFERROR(__xludf.DUMMYFUNCTION("countunique(split(M126, "", ""))"),1.0)</f>
        <v>1</v>
      </c>
      <c r="O126" s="71">
        <f>IFERROR(__xludf.DUMMYFUNCTION("countif(split(K126,"",""),C126)"),0.0)</f>
        <v>0</v>
      </c>
      <c r="P126" s="55" t="b">
        <f>IFERROR(__xludf.DUMMYFUNCTION("MIN(split(J126,"",""))&lt;=7"),FALSE)</f>
        <v>0</v>
      </c>
      <c r="Q126" s="55" t="b">
        <f>IFERROR(__xludf.DUMMYFUNCTION("max(split(J126,"",""))&gt;=8"),TRUE)</f>
        <v>1</v>
      </c>
      <c r="R126" s="55" t="b">
        <f t="shared" si="3"/>
        <v>0</v>
      </c>
      <c r="S126" s="2"/>
    </row>
    <row r="127">
      <c r="A127" s="65" t="s">
        <v>3156</v>
      </c>
      <c r="B127" s="42">
        <v>139.0</v>
      </c>
      <c r="C127" s="65" t="s">
        <v>4114</v>
      </c>
      <c r="D127" s="2" t="s">
        <v>19</v>
      </c>
      <c r="E127" s="70" t="s">
        <v>1612</v>
      </c>
      <c r="F127" s="2" t="s">
        <v>2490</v>
      </c>
      <c r="G127" s="2"/>
      <c r="H127" s="54" t="str">
        <f t="shared" si="1"/>
        <v>(P9)</v>
      </c>
      <c r="I127" s="54" t="str">
        <f>IFERROR(__xludf.DUMMYFUNCTION("concatenate(ARRAYFORMULA(""P"" &amp; SPLIT(J127, "","") &amp; "",""))"),"P9,")</f>
        <v>P9,</v>
      </c>
      <c r="J127" s="54" t="str">
        <f>IFERROR(__xludf.DUMMYFUNCTION("ArrayFormula(textjoin("", "",true,unique(trim(split(M127,"","")),true)))"),"9")</f>
        <v>9</v>
      </c>
      <c r="K127" s="65"/>
      <c r="L127" s="65"/>
      <c r="M127" s="54" t="str">
        <f t="shared" si="2"/>
        <v>9</v>
      </c>
      <c r="N127" s="71">
        <f>IFERROR(__xludf.DUMMYFUNCTION("countunique(split(M127, "", ""))"),1.0)</f>
        <v>1</v>
      </c>
      <c r="O127" s="71">
        <f>IFERROR(__xludf.DUMMYFUNCTION("countif(split(K127,"",""),C127)"),0.0)</f>
        <v>0</v>
      </c>
      <c r="P127" s="55" t="b">
        <f>IFERROR(__xludf.DUMMYFUNCTION("MIN(split(J127,"",""))&lt;=7"),FALSE)</f>
        <v>0</v>
      </c>
      <c r="Q127" s="55" t="b">
        <f>IFERROR(__xludf.DUMMYFUNCTION("max(split(J127,"",""))&gt;=8"),TRUE)</f>
        <v>1</v>
      </c>
      <c r="R127" s="55" t="b">
        <f t="shared" si="3"/>
        <v>0</v>
      </c>
      <c r="S127" s="2"/>
    </row>
    <row r="128">
      <c r="A128" s="65" t="s">
        <v>3555</v>
      </c>
      <c r="B128" s="42">
        <v>140.0</v>
      </c>
      <c r="C128" s="84">
        <v>9.0</v>
      </c>
      <c r="D128" s="2" t="s">
        <v>19</v>
      </c>
      <c r="E128" s="82" t="s">
        <v>578</v>
      </c>
      <c r="F128" s="2" t="s">
        <v>2491</v>
      </c>
      <c r="G128" s="2"/>
      <c r="H128" s="54" t="str">
        <f t="shared" si="1"/>
        <v>(P9)</v>
      </c>
      <c r="I128" s="54" t="str">
        <f>IFERROR(__xludf.DUMMYFUNCTION("concatenate(ARRAYFORMULA(""P"" &amp; SPLIT(J128, "","") &amp; "",""))"),"P9,")</f>
        <v>P9,</v>
      </c>
      <c r="J128" s="54" t="str">
        <f>IFERROR(__xludf.DUMMYFUNCTION("ArrayFormula(textjoin("", "",true,unique(trim(split(M128,"","")),true)))"),"9")</f>
        <v>9</v>
      </c>
      <c r="K128" s="65"/>
      <c r="L128" s="65"/>
      <c r="M128" s="54">
        <f t="shared" si="2"/>
        <v>9</v>
      </c>
      <c r="N128" s="71">
        <f>IFERROR(__xludf.DUMMYFUNCTION("countunique(split(M128, "", ""))"),1.0)</f>
        <v>1</v>
      </c>
      <c r="O128" s="71">
        <f>IFERROR(__xludf.DUMMYFUNCTION("countif(split(K128,"",""),C128)"),0.0)</f>
        <v>0</v>
      </c>
      <c r="P128" s="55" t="b">
        <f>IFERROR(__xludf.DUMMYFUNCTION("MIN(split(J128,"",""))&lt;=7"),FALSE)</f>
        <v>0</v>
      </c>
      <c r="Q128" s="55" t="b">
        <f>IFERROR(__xludf.DUMMYFUNCTION("max(split(J128,"",""))&gt;=8"),TRUE)</f>
        <v>1</v>
      </c>
      <c r="R128" s="55" t="b">
        <f t="shared" si="3"/>
        <v>0</v>
      </c>
      <c r="S128" s="2" t="s">
        <v>4118</v>
      </c>
    </row>
    <row r="129">
      <c r="A129" s="65" t="s">
        <v>3556</v>
      </c>
      <c r="B129" s="42">
        <v>141.0</v>
      </c>
      <c r="C129" s="65" t="s">
        <v>4114</v>
      </c>
      <c r="D129" s="2" t="s">
        <v>19</v>
      </c>
      <c r="E129" s="70" t="s">
        <v>580</v>
      </c>
      <c r="F129" s="2" t="s">
        <v>2493</v>
      </c>
      <c r="G129" s="2"/>
      <c r="H129" s="54" t="str">
        <f t="shared" si="1"/>
        <v>(P9)</v>
      </c>
      <c r="I129" s="54" t="str">
        <f>IFERROR(__xludf.DUMMYFUNCTION("concatenate(ARRAYFORMULA(""P"" &amp; SPLIT(J129, "","") &amp; "",""))"),"P9,")</f>
        <v>P9,</v>
      </c>
      <c r="J129" s="54" t="str">
        <f>IFERROR(__xludf.DUMMYFUNCTION("ArrayFormula(textjoin("", "",true,unique(trim(split(M129,"","")),true)))"),"9")</f>
        <v>9</v>
      </c>
      <c r="K129" s="65"/>
      <c r="L129" s="65"/>
      <c r="M129" s="54" t="str">
        <f t="shared" si="2"/>
        <v>9</v>
      </c>
      <c r="N129" s="71">
        <f>IFERROR(__xludf.DUMMYFUNCTION("countunique(split(M129, "", ""))"),1.0)</f>
        <v>1</v>
      </c>
      <c r="O129" s="71">
        <f>IFERROR(__xludf.DUMMYFUNCTION("countif(split(K129,"",""),C129)"),0.0)</f>
        <v>0</v>
      </c>
      <c r="P129" s="55" t="b">
        <f>IFERROR(__xludf.DUMMYFUNCTION("MIN(split(J129,"",""))&lt;=7"),FALSE)</f>
        <v>0</v>
      </c>
      <c r="Q129" s="55" t="b">
        <f>IFERROR(__xludf.DUMMYFUNCTION("max(split(J129,"",""))&gt;=8"),TRUE)</f>
        <v>1</v>
      </c>
      <c r="R129" s="55" t="b">
        <f t="shared" si="3"/>
        <v>0</v>
      </c>
      <c r="S129" s="2" t="s">
        <v>4119</v>
      </c>
    </row>
    <row r="130">
      <c r="A130" s="65" t="s">
        <v>3558</v>
      </c>
      <c r="B130" s="42">
        <v>142.0</v>
      </c>
      <c r="C130" s="65" t="s">
        <v>4114</v>
      </c>
      <c r="D130" s="2" t="s">
        <v>19</v>
      </c>
      <c r="E130" s="70" t="s">
        <v>584</v>
      </c>
      <c r="F130" s="2" t="s">
        <v>2495</v>
      </c>
      <c r="G130" s="2"/>
      <c r="H130" s="54" t="str">
        <f t="shared" si="1"/>
        <v>(P9)</v>
      </c>
      <c r="I130" s="54" t="str">
        <f>IFERROR(__xludf.DUMMYFUNCTION("concatenate(ARRAYFORMULA(""P"" &amp; SPLIT(J130, "","") &amp; "",""))"),"P9,")</f>
        <v>P9,</v>
      </c>
      <c r="J130" s="54" t="str">
        <f>IFERROR(__xludf.DUMMYFUNCTION("ArrayFormula(textjoin("", "",true,unique(trim(split(M130,"","")),true)))"),"9")</f>
        <v>9</v>
      </c>
      <c r="K130" s="65"/>
      <c r="L130" s="65"/>
      <c r="M130" s="54" t="str">
        <f t="shared" si="2"/>
        <v>9</v>
      </c>
      <c r="N130" s="71">
        <f>IFERROR(__xludf.DUMMYFUNCTION("countunique(split(M130, "", ""))"),1.0)</f>
        <v>1</v>
      </c>
      <c r="O130" s="71">
        <f>IFERROR(__xludf.DUMMYFUNCTION("countif(split(K130,"",""),C130)"),0.0)</f>
        <v>0</v>
      </c>
      <c r="P130" s="55" t="b">
        <f>IFERROR(__xludf.DUMMYFUNCTION("MIN(split(J130,"",""))&lt;=7"),FALSE)</f>
        <v>0</v>
      </c>
      <c r="Q130" s="55" t="b">
        <f>IFERROR(__xludf.DUMMYFUNCTION("max(split(J130,"",""))&gt;=8"),TRUE)</f>
        <v>1</v>
      </c>
      <c r="R130" s="55" t="b">
        <f t="shared" si="3"/>
        <v>0</v>
      </c>
      <c r="S130" s="2"/>
    </row>
    <row r="131">
      <c r="A131" s="65" t="s">
        <v>3560</v>
      </c>
      <c r="B131" s="42">
        <v>143.0</v>
      </c>
      <c r="C131" s="65" t="s">
        <v>4114</v>
      </c>
      <c r="D131" s="2" t="s">
        <v>19</v>
      </c>
      <c r="E131" s="70" t="s">
        <v>3561</v>
      </c>
      <c r="F131" s="2" t="s">
        <v>4120</v>
      </c>
      <c r="G131" s="2"/>
      <c r="H131" s="54" t="str">
        <f t="shared" si="1"/>
        <v>(P9)</v>
      </c>
      <c r="I131" s="54" t="str">
        <f>IFERROR(__xludf.DUMMYFUNCTION("concatenate(ARRAYFORMULA(""P"" &amp; SPLIT(J131, "","") &amp; "",""))"),"P9,")</f>
        <v>P9,</v>
      </c>
      <c r="J131" s="54" t="str">
        <f>IFERROR(__xludf.DUMMYFUNCTION("ArrayFormula(textjoin("", "",true,unique(trim(split(M131,"","")),true)))"),"9")</f>
        <v>9</v>
      </c>
      <c r="K131" s="65"/>
      <c r="L131" s="65"/>
      <c r="M131" s="54" t="str">
        <f t="shared" si="2"/>
        <v>9</v>
      </c>
      <c r="N131" s="71">
        <f>IFERROR(__xludf.DUMMYFUNCTION("countunique(split(M131, "", ""))"),1.0)</f>
        <v>1</v>
      </c>
      <c r="O131" s="71">
        <f>IFERROR(__xludf.DUMMYFUNCTION("countif(split(K131,"",""),C131)"),0.0)</f>
        <v>0</v>
      </c>
      <c r="P131" s="55" t="b">
        <f>IFERROR(__xludf.DUMMYFUNCTION("MIN(split(J131,"",""))&lt;=7"),FALSE)</f>
        <v>0</v>
      </c>
      <c r="Q131" s="55" t="b">
        <f>IFERROR(__xludf.DUMMYFUNCTION("max(split(J131,"",""))&gt;=8"),TRUE)</f>
        <v>1</v>
      </c>
      <c r="R131" s="55" t="b">
        <f t="shared" si="3"/>
        <v>0</v>
      </c>
      <c r="S131" s="2"/>
    </row>
    <row r="132">
      <c r="A132" s="65" t="s">
        <v>3564</v>
      </c>
      <c r="B132" s="42">
        <v>144.0</v>
      </c>
      <c r="C132" s="65" t="s">
        <v>4114</v>
      </c>
      <c r="D132" s="2" t="s">
        <v>19</v>
      </c>
      <c r="E132" s="70" t="s">
        <v>2505</v>
      </c>
      <c r="F132" s="2" t="s">
        <v>2506</v>
      </c>
      <c r="G132" s="2"/>
      <c r="H132" s="54" t="str">
        <f t="shared" si="1"/>
        <v>(P9)</v>
      </c>
      <c r="I132" s="54" t="str">
        <f>IFERROR(__xludf.DUMMYFUNCTION("concatenate(ARRAYFORMULA(""P"" &amp; SPLIT(J132, "","") &amp; "",""))"),"P9,")</f>
        <v>P9,</v>
      </c>
      <c r="J132" s="54" t="str">
        <f>IFERROR(__xludf.DUMMYFUNCTION("ArrayFormula(textjoin("", "",true,unique(trim(split(M132,"","")),true)))"),"9")</f>
        <v>9</v>
      </c>
      <c r="K132" s="65"/>
      <c r="L132" s="65"/>
      <c r="M132" s="54" t="str">
        <f t="shared" si="2"/>
        <v>9</v>
      </c>
      <c r="N132" s="71">
        <f>IFERROR(__xludf.DUMMYFUNCTION("countunique(split(M132, "", ""))"),1.0)</f>
        <v>1</v>
      </c>
      <c r="O132" s="71">
        <f>IFERROR(__xludf.DUMMYFUNCTION("countif(split(K132,"",""),C132)"),0.0)</f>
        <v>0</v>
      </c>
      <c r="P132" s="55" t="b">
        <f>IFERROR(__xludf.DUMMYFUNCTION("MIN(split(J132,"",""))&lt;=7"),FALSE)</f>
        <v>0</v>
      </c>
      <c r="Q132" s="55" t="b">
        <f>IFERROR(__xludf.DUMMYFUNCTION("max(split(J132,"",""))&gt;=8"),TRUE)</f>
        <v>1</v>
      </c>
      <c r="R132" s="55" t="b">
        <f t="shared" si="3"/>
        <v>0</v>
      </c>
      <c r="S132" s="2"/>
    </row>
    <row r="133">
      <c r="A133" s="65" t="s">
        <v>3565</v>
      </c>
      <c r="B133" s="42">
        <v>145.0</v>
      </c>
      <c r="C133" s="65" t="s">
        <v>4114</v>
      </c>
      <c r="D133" s="2" t="s">
        <v>19</v>
      </c>
      <c r="E133" s="70" t="s">
        <v>1626</v>
      </c>
      <c r="F133" s="2" t="s">
        <v>2510</v>
      </c>
      <c r="G133" s="2"/>
      <c r="H133" s="54" t="str">
        <f t="shared" si="1"/>
        <v>(P9)</v>
      </c>
      <c r="I133" s="54" t="str">
        <f>IFERROR(__xludf.DUMMYFUNCTION("concatenate(ARRAYFORMULA(""P"" &amp; SPLIT(J133, "","") &amp; "",""))"),"P9,")</f>
        <v>P9,</v>
      </c>
      <c r="J133" s="54" t="str">
        <f>IFERROR(__xludf.DUMMYFUNCTION("ArrayFormula(textjoin("", "",true,unique(trim(split(M133,"","")),true)))"),"9")</f>
        <v>9</v>
      </c>
      <c r="K133" s="65"/>
      <c r="L133" s="65"/>
      <c r="M133" s="54" t="str">
        <f t="shared" si="2"/>
        <v>9</v>
      </c>
      <c r="N133" s="71">
        <f>IFERROR(__xludf.DUMMYFUNCTION("countunique(split(M133, "", ""))"),1.0)</f>
        <v>1</v>
      </c>
      <c r="O133" s="71">
        <f>IFERROR(__xludf.DUMMYFUNCTION("countif(split(K133,"",""),C133)"),0.0)</f>
        <v>0</v>
      </c>
      <c r="P133" s="55" t="b">
        <f>IFERROR(__xludf.DUMMYFUNCTION("MIN(split(J133,"",""))&lt;=7"),FALSE)</f>
        <v>0</v>
      </c>
      <c r="Q133" s="55" t="b">
        <f>IFERROR(__xludf.DUMMYFUNCTION("max(split(J133,"",""))&gt;=8"),TRUE)</f>
        <v>1</v>
      </c>
      <c r="R133" s="55" t="b">
        <f t="shared" si="3"/>
        <v>0</v>
      </c>
      <c r="S133" s="2"/>
    </row>
    <row r="134">
      <c r="A134" s="65" t="s">
        <v>3569</v>
      </c>
      <c r="B134" s="42">
        <v>146.0</v>
      </c>
      <c r="C134" s="65" t="s">
        <v>4114</v>
      </c>
      <c r="D134" s="2" t="s">
        <v>19</v>
      </c>
      <c r="E134" s="70" t="s">
        <v>4121</v>
      </c>
      <c r="F134" s="2" t="s">
        <v>4122</v>
      </c>
      <c r="G134" s="2" t="s">
        <v>4123</v>
      </c>
      <c r="H134" s="54" t="str">
        <f t="shared" si="1"/>
        <v>(P9,P10,P12)</v>
      </c>
      <c r="I134" s="54" t="str">
        <f>IFERROR(__xludf.DUMMYFUNCTION("concatenate(ARRAYFORMULA(""P"" &amp; SPLIT(J134, "","") &amp; "",""))"),"P9,P10,P12,")</f>
        <v>P9,P10,P12,</v>
      </c>
      <c r="J134" s="54" t="str">
        <f>IFERROR(__xludf.DUMMYFUNCTION("ArrayFormula(textjoin("", "",true,unique(trim(split(M134,"","")),true)))"),"9, 10, 12")</f>
        <v>9, 10, 12</v>
      </c>
      <c r="K134" s="65" t="s">
        <v>3950</v>
      </c>
      <c r="L134" s="65" t="s">
        <v>4124</v>
      </c>
      <c r="M134" s="54" t="str">
        <f t="shared" si="2"/>
        <v>9, 10, 12</v>
      </c>
      <c r="N134" s="71">
        <f>IFERROR(__xludf.DUMMYFUNCTION("countunique(split(M134, "", ""))"),3.0)</f>
        <v>3</v>
      </c>
      <c r="O134" s="71">
        <f>IFERROR(__xludf.DUMMYFUNCTION("countif(split(K134,"",""),C134)"),0.0)</f>
        <v>0</v>
      </c>
      <c r="P134" s="55" t="b">
        <f>IFERROR(__xludf.DUMMYFUNCTION("MIN(split(J134,"",""))&lt;=7"),FALSE)</f>
        <v>0</v>
      </c>
      <c r="Q134" s="55" t="b">
        <f>IFERROR(__xludf.DUMMYFUNCTION("max(split(J134,"",""))&gt;=8"),TRUE)</f>
        <v>1</v>
      </c>
      <c r="R134" s="55" t="b">
        <f t="shared" si="3"/>
        <v>0</v>
      </c>
      <c r="S134" s="2"/>
    </row>
    <row r="135">
      <c r="A135" s="65" t="s">
        <v>3573</v>
      </c>
      <c r="B135" s="42">
        <v>147.0</v>
      </c>
      <c r="C135" s="84">
        <v>9.0</v>
      </c>
      <c r="D135" s="2" t="s">
        <v>19</v>
      </c>
      <c r="E135" s="82" t="s">
        <v>611</v>
      </c>
      <c r="F135" s="22" t="s">
        <v>2518</v>
      </c>
      <c r="G135" s="2"/>
      <c r="H135" s="54" t="str">
        <f t="shared" si="1"/>
        <v>(P9)</v>
      </c>
      <c r="I135" s="54" t="str">
        <f>IFERROR(__xludf.DUMMYFUNCTION("concatenate(ARRAYFORMULA(""P"" &amp; SPLIT(J135, "","") &amp; "",""))"),"P9,")</f>
        <v>P9,</v>
      </c>
      <c r="J135" s="54" t="str">
        <f>IFERROR(__xludf.DUMMYFUNCTION("ArrayFormula(textjoin("", "",true,unique(trim(split(M135,"","")),true)))"),"9")</f>
        <v>9</v>
      </c>
      <c r="K135" s="65"/>
      <c r="L135" s="65"/>
      <c r="M135" s="54">
        <f t="shared" si="2"/>
        <v>9</v>
      </c>
      <c r="N135" s="71">
        <f>IFERROR(__xludf.DUMMYFUNCTION("countunique(split(M135, "", ""))"),1.0)</f>
        <v>1</v>
      </c>
      <c r="O135" s="71">
        <f>IFERROR(__xludf.DUMMYFUNCTION("countif(split(K135,"",""),C135)"),0.0)</f>
        <v>0</v>
      </c>
      <c r="P135" s="55" t="b">
        <f>IFERROR(__xludf.DUMMYFUNCTION("MIN(split(J135,"",""))&lt;=7"),FALSE)</f>
        <v>0</v>
      </c>
      <c r="Q135" s="55" t="b">
        <f>IFERROR(__xludf.DUMMYFUNCTION("max(split(J135,"",""))&gt;=8"),TRUE)</f>
        <v>1</v>
      </c>
      <c r="R135" s="55" t="b">
        <f t="shared" si="3"/>
        <v>0</v>
      </c>
      <c r="S135" s="2"/>
    </row>
    <row r="136">
      <c r="A136" s="65" t="s">
        <v>3576</v>
      </c>
      <c r="B136" s="42">
        <v>148.0</v>
      </c>
      <c r="C136" s="65" t="s">
        <v>4114</v>
      </c>
      <c r="D136" s="2" t="s">
        <v>19</v>
      </c>
      <c r="E136" s="70" t="s">
        <v>4125</v>
      </c>
      <c r="F136" s="2" t="s">
        <v>4126</v>
      </c>
      <c r="G136" s="2"/>
      <c r="H136" s="54" t="str">
        <f t="shared" si="1"/>
        <v>(P9)</v>
      </c>
      <c r="I136" s="54" t="str">
        <f>IFERROR(__xludf.DUMMYFUNCTION("concatenate(ARRAYFORMULA(""P"" &amp; SPLIT(J136, "","") &amp; "",""))"),"P9,")</f>
        <v>P9,</v>
      </c>
      <c r="J136" s="54" t="str">
        <f>IFERROR(__xludf.DUMMYFUNCTION("ArrayFormula(textjoin("", "",true,unique(trim(split(M136,"","")),true)))"),"9")</f>
        <v>9</v>
      </c>
      <c r="K136" s="65"/>
      <c r="L136" s="65"/>
      <c r="M136" s="54" t="str">
        <f t="shared" si="2"/>
        <v>9</v>
      </c>
      <c r="N136" s="71">
        <f>IFERROR(__xludf.DUMMYFUNCTION("countunique(split(M136, "", ""))"),1.0)</f>
        <v>1</v>
      </c>
      <c r="O136" s="71">
        <f>IFERROR(__xludf.DUMMYFUNCTION("countif(split(K136,"",""),C136)"),0.0)</f>
        <v>0</v>
      </c>
      <c r="P136" s="55" t="b">
        <f>IFERROR(__xludf.DUMMYFUNCTION("MIN(split(J136,"",""))&lt;=7"),FALSE)</f>
        <v>0</v>
      </c>
      <c r="Q136" s="55" t="b">
        <f>IFERROR(__xludf.DUMMYFUNCTION("max(split(J136,"",""))&gt;=8"),TRUE)</f>
        <v>1</v>
      </c>
      <c r="R136" s="55" t="b">
        <f t="shared" si="3"/>
        <v>0</v>
      </c>
      <c r="S136" s="2"/>
    </row>
    <row r="137">
      <c r="A137" s="65" t="s">
        <v>3583</v>
      </c>
      <c r="B137" s="42">
        <v>149.0</v>
      </c>
      <c r="C137" s="65" t="s">
        <v>4114</v>
      </c>
      <c r="D137" s="2" t="s">
        <v>19</v>
      </c>
      <c r="E137" s="70" t="s">
        <v>621</v>
      </c>
      <c r="F137" s="2" t="s">
        <v>4127</v>
      </c>
      <c r="G137" s="2"/>
      <c r="H137" s="54" t="str">
        <f t="shared" si="1"/>
        <v>(P9)</v>
      </c>
      <c r="I137" s="54" t="str">
        <f>IFERROR(__xludf.DUMMYFUNCTION("concatenate(ARRAYFORMULA(""P"" &amp; SPLIT(J137, "","") &amp; "",""))"),"P9,")</f>
        <v>P9,</v>
      </c>
      <c r="J137" s="54" t="str">
        <f>IFERROR(__xludf.DUMMYFUNCTION("ArrayFormula(textjoin("", "",true,unique(trim(split(M137,"","")),true)))"),"9")</f>
        <v>9</v>
      </c>
      <c r="K137" s="65"/>
      <c r="L137" s="65"/>
      <c r="M137" s="54" t="str">
        <f t="shared" si="2"/>
        <v>9</v>
      </c>
      <c r="N137" s="71">
        <f>IFERROR(__xludf.DUMMYFUNCTION("countunique(split(M137, "", ""))"),1.0)</f>
        <v>1</v>
      </c>
      <c r="O137" s="71">
        <f>IFERROR(__xludf.DUMMYFUNCTION("countif(split(K137,"",""),C137)"),0.0)</f>
        <v>0</v>
      </c>
      <c r="P137" s="55" t="b">
        <f>IFERROR(__xludf.DUMMYFUNCTION("MIN(split(J137,"",""))&lt;=7"),FALSE)</f>
        <v>0</v>
      </c>
      <c r="Q137" s="55" t="b">
        <f>IFERROR(__xludf.DUMMYFUNCTION("max(split(J137,"",""))&gt;=8"),TRUE)</f>
        <v>1</v>
      </c>
      <c r="R137" s="55" t="b">
        <f t="shared" si="3"/>
        <v>0</v>
      </c>
      <c r="S137" s="2"/>
    </row>
    <row r="138">
      <c r="A138" s="65" t="s">
        <v>3584</v>
      </c>
      <c r="B138" s="42">
        <v>150.0</v>
      </c>
      <c r="C138" s="65" t="s">
        <v>3995</v>
      </c>
      <c r="D138" s="2" t="s">
        <v>19</v>
      </c>
      <c r="E138" s="70" t="s">
        <v>1648</v>
      </c>
      <c r="F138" s="2" t="s">
        <v>4128</v>
      </c>
      <c r="G138" s="2"/>
      <c r="H138" s="54" t="str">
        <f t="shared" si="1"/>
        <v>(P10)</v>
      </c>
      <c r="I138" s="54" t="str">
        <f>IFERROR(__xludf.DUMMYFUNCTION("concatenate(ARRAYFORMULA(""P"" &amp; SPLIT(J138, "","") &amp; "",""))"),"P10,")</f>
        <v>P10,</v>
      </c>
      <c r="J138" s="54" t="str">
        <f>IFERROR(__xludf.DUMMYFUNCTION("ArrayFormula(textjoin("", "",true,unique(trim(split(M138,"","")),true)))"),"10")</f>
        <v>10</v>
      </c>
      <c r="K138" s="65"/>
      <c r="L138" s="65"/>
      <c r="M138" s="54" t="str">
        <f t="shared" si="2"/>
        <v>10</v>
      </c>
      <c r="N138" s="71">
        <f>IFERROR(__xludf.DUMMYFUNCTION("countunique(split(M138, "", ""))"),1.0)</f>
        <v>1</v>
      </c>
      <c r="O138" s="71">
        <f>IFERROR(__xludf.DUMMYFUNCTION("countif(split(K138,"",""),C138)"),0.0)</f>
        <v>0</v>
      </c>
      <c r="P138" s="55" t="b">
        <f>IFERROR(__xludf.DUMMYFUNCTION("MIN(split(J138,"",""))&lt;=7"),FALSE)</f>
        <v>0</v>
      </c>
      <c r="Q138" s="55" t="b">
        <f>IFERROR(__xludf.DUMMYFUNCTION("max(split(J138,"",""))&gt;=8"),TRUE)</f>
        <v>1</v>
      </c>
      <c r="R138" s="55" t="b">
        <f t="shared" si="3"/>
        <v>0</v>
      </c>
      <c r="S138" s="2"/>
    </row>
    <row r="139">
      <c r="A139" s="65" t="s">
        <v>3585</v>
      </c>
      <c r="B139" s="42">
        <v>151.0</v>
      </c>
      <c r="C139" s="65" t="s">
        <v>3995</v>
      </c>
      <c r="D139" s="2" t="s">
        <v>19</v>
      </c>
      <c r="E139" s="70" t="s">
        <v>4129</v>
      </c>
      <c r="F139" s="42" t="s">
        <v>4130</v>
      </c>
      <c r="G139" s="2" t="s">
        <v>4131</v>
      </c>
      <c r="H139" s="54" t="str">
        <f t="shared" si="1"/>
        <v>(P10,P14)</v>
      </c>
      <c r="I139" s="54" t="str">
        <f>IFERROR(__xludf.DUMMYFUNCTION("concatenate(ARRAYFORMULA(""P"" &amp; SPLIT(J139, "","") &amp; "",""))"),"P10,P14,")</f>
        <v>P10,P14,</v>
      </c>
      <c r="J139" s="54" t="str">
        <f>IFERROR(__xludf.DUMMYFUNCTION("ArrayFormula(textjoin("", "",true,unique(trim(split(M139,"","")),true)))"),"10, 14")</f>
        <v>10, 14</v>
      </c>
      <c r="K139" s="65" t="s">
        <v>3260</v>
      </c>
      <c r="L139" s="65" t="s">
        <v>3847</v>
      </c>
      <c r="M139" s="54" t="str">
        <f t="shared" si="2"/>
        <v>10, 14</v>
      </c>
      <c r="N139" s="71">
        <f>IFERROR(__xludf.DUMMYFUNCTION("countunique(split(M139, "", ""))"),2.0)</f>
        <v>2</v>
      </c>
      <c r="O139" s="71">
        <f>IFERROR(__xludf.DUMMYFUNCTION("countif(split(K139,"",""),C139)"),0.0)</f>
        <v>0</v>
      </c>
      <c r="P139" s="55" t="b">
        <f>IFERROR(__xludf.DUMMYFUNCTION("MIN(split(J139,"",""))&lt;=7"),FALSE)</f>
        <v>0</v>
      </c>
      <c r="Q139" s="55" t="b">
        <f>IFERROR(__xludf.DUMMYFUNCTION("max(split(J139,"",""))&gt;=8"),TRUE)</f>
        <v>1</v>
      </c>
      <c r="R139" s="55" t="b">
        <f t="shared" si="3"/>
        <v>0</v>
      </c>
      <c r="S139" s="2"/>
    </row>
    <row r="140">
      <c r="A140" s="65" t="s">
        <v>3593</v>
      </c>
      <c r="B140" s="42">
        <v>152.0</v>
      </c>
      <c r="C140" s="65" t="s">
        <v>3995</v>
      </c>
      <c r="D140" s="2" t="s">
        <v>19</v>
      </c>
      <c r="E140" s="70" t="s">
        <v>4132</v>
      </c>
      <c r="F140" s="2" t="s">
        <v>2549</v>
      </c>
      <c r="G140" s="2"/>
      <c r="H140" s="54" t="str">
        <f t="shared" si="1"/>
        <v>(P10)</v>
      </c>
      <c r="I140" s="54" t="str">
        <f>IFERROR(__xludf.DUMMYFUNCTION("concatenate(ARRAYFORMULA(""P"" &amp; SPLIT(J140, "","") &amp; "",""))"),"P10,")</f>
        <v>P10,</v>
      </c>
      <c r="J140" s="54" t="str">
        <f>IFERROR(__xludf.DUMMYFUNCTION("ArrayFormula(textjoin("", "",true,unique(trim(split(M140,"","")),true)))"),"10")</f>
        <v>10</v>
      </c>
      <c r="K140" s="65"/>
      <c r="L140" s="65"/>
      <c r="M140" s="54" t="str">
        <f t="shared" si="2"/>
        <v>10</v>
      </c>
      <c r="N140" s="71">
        <f>IFERROR(__xludf.DUMMYFUNCTION("countunique(split(M140, "", ""))"),1.0)</f>
        <v>1</v>
      </c>
      <c r="O140" s="71">
        <f>IFERROR(__xludf.DUMMYFUNCTION("countif(split(K140,"",""),C140)"),0.0)</f>
        <v>0</v>
      </c>
      <c r="P140" s="55" t="b">
        <f>IFERROR(__xludf.DUMMYFUNCTION("MIN(split(J140,"",""))&lt;=7"),FALSE)</f>
        <v>0</v>
      </c>
      <c r="Q140" s="55" t="b">
        <f>IFERROR(__xludf.DUMMYFUNCTION("max(split(J140,"",""))&gt;=8"),TRUE)</f>
        <v>1</v>
      </c>
      <c r="R140" s="55" t="b">
        <f t="shared" si="3"/>
        <v>0</v>
      </c>
      <c r="S140" s="2"/>
    </row>
    <row r="141">
      <c r="A141" s="65" t="s">
        <v>3601</v>
      </c>
      <c r="B141" s="42">
        <v>153.0</v>
      </c>
      <c r="C141" s="65" t="s">
        <v>3995</v>
      </c>
      <c r="D141" s="2" t="s">
        <v>19</v>
      </c>
      <c r="E141" s="70" t="s">
        <v>4133</v>
      </c>
      <c r="F141" s="2" t="s">
        <v>2554</v>
      </c>
      <c r="G141" s="2"/>
      <c r="H141" s="54" t="str">
        <f t="shared" si="1"/>
        <v>(P10)</v>
      </c>
      <c r="I141" s="54" t="str">
        <f>IFERROR(__xludf.DUMMYFUNCTION("concatenate(ARRAYFORMULA(""P"" &amp; SPLIT(J141, "","") &amp; "",""))"),"P10,")</f>
        <v>P10,</v>
      </c>
      <c r="J141" s="54" t="str">
        <f>IFERROR(__xludf.DUMMYFUNCTION("ArrayFormula(textjoin("", "",true,unique(trim(split(M141,"","")),true)))"),"10")</f>
        <v>10</v>
      </c>
      <c r="K141" s="65"/>
      <c r="L141" s="65"/>
      <c r="M141" s="54" t="str">
        <f t="shared" si="2"/>
        <v>10</v>
      </c>
      <c r="N141" s="71">
        <f>IFERROR(__xludf.DUMMYFUNCTION("countunique(split(M141, "", ""))"),1.0)</f>
        <v>1</v>
      </c>
      <c r="O141" s="71">
        <f>IFERROR(__xludf.DUMMYFUNCTION("countif(split(K141,"",""),C141)"),0.0)</f>
        <v>0</v>
      </c>
      <c r="P141" s="55" t="b">
        <f>IFERROR(__xludf.DUMMYFUNCTION("MIN(split(J141,"",""))&lt;=7"),FALSE)</f>
        <v>0</v>
      </c>
      <c r="Q141" s="55" t="b">
        <f>IFERROR(__xludf.DUMMYFUNCTION("max(split(J141,"",""))&gt;=8"),TRUE)</f>
        <v>1</v>
      </c>
      <c r="R141" s="55" t="b">
        <f t="shared" si="3"/>
        <v>0</v>
      </c>
      <c r="S141" s="2"/>
    </row>
    <row r="142">
      <c r="A142" s="65" t="s">
        <v>3602</v>
      </c>
      <c r="B142" s="42">
        <v>154.0</v>
      </c>
      <c r="C142" s="65" t="s">
        <v>3995</v>
      </c>
      <c r="D142" s="2" t="s">
        <v>19</v>
      </c>
      <c r="E142" s="70" t="s">
        <v>1674</v>
      </c>
      <c r="F142" s="2" t="s">
        <v>4134</v>
      </c>
      <c r="G142" s="2"/>
      <c r="H142" s="54" t="str">
        <f t="shared" si="1"/>
        <v>(P10)</v>
      </c>
      <c r="I142" s="54" t="str">
        <f>IFERROR(__xludf.DUMMYFUNCTION("concatenate(ARRAYFORMULA(""P"" &amp; SPLIT(J142, "","") &amp; "",""))"),"P10,")</f>
        <v>P10,</v>
      </c>
      <c r="J142" s="54" t="str">
        <f>IFERROR(__xludf.DUMMYFUNCTION("ArrayFormula(textjoin("", "",true,unique(trim(split(M142,"","")),true)))"),"10")</f>
        <v>10</v>
      </c>
      <c r="K142" s="65"/>
      <c r="L142" s="65"/>
      <c r="M142" s="54" t="str">
        <f t="shared" si="2"/>
        <v>10</v>
      </c>
      <c r="N142" s="71">
        <f>IFERROR(__xludf.DUMMYFUNCTION("countunique(split(M142, "", ""))"),1.0)</f>
        <v>1</v>
      </c>
      <c r="O142" s="71">
        <f>IFERROR(__xludf.DUMMYFUNCTION("countif(split(K142,"",""),C142)"),0.0)</f>
        <v>0</v>
      </c>
      <c r="P142" s="55" t="b">
        <f>IFERROR(__xludf.DUMMYFUNCTION("MIN(split(J142,"",""))&lt;=7"),FALSE)</f>
        <v>0</v>
      </c>
      <c r="Q142" s="55" t="b">
        <f>IFERROR(__xludf.DUMMYFUNCTION("max(split(J142,"",""))&gt;=8"),TRUE)</f>
        <v>1</v>
      </c>
      <c r="R142" s="55" t="b">
        <f t="shared" si="3"/>
        <v>0</v>
      </c>
      <c r="S142" s="2"/>
    </row>
    <row r="143">
      <c r="A143" s="65" t="s">
        <v>3604</v>
      </c>
      <c r="B143" s="42">
        <v>155.0</v>
      </c>
      <c r="C143" s="65" t="s">
        <v>3995</v>
      </c>
      <c r="D143" s="2" t="s">
        <v>19</v>
      </c>
      <c r="E143" s="70" t="s">
        <v>4135</v>
      </c>
      <c r="F143" s="42" t="s">
        <v>4136</v>
      </c>
      <c r="G143" s="2" t="s">
        <v>2557</v>
      </c>
      <c r="H143" s="54" t="str">
        <f t="shared" si="1"/>
        <v>(P10,P11)</v>
      </c>
      <c r="I143" s="54" t="str">
        <f>IFERROR(__xludf.DUMMYFUNCTION("concatenate(ARRAYFORMULA(""P"" &amp; SPLIT(J143, "","") &amp; "",""))"),"P10,P11,")</f>
        <v>P10,P11,</v>
      </c>
      <c r="J143" s="54" t="str">
        <f>IFERROR(__xludf.DUMMYFUNCTION("ArrayFormula(textjoin("", "",true,unique(trim(split(M143,"","")),true)))"),"10, 11")</f>
        <v>10, 11</v>
      </c>
      <c r="K143" s="65" t="s">
        <v>4137</v>
      </c>
      <c r="L143" s="65" t="s">
        <v>4138</v>
      </c>
      <c r="M143" s="54" t="str">
        <f t="shared" si="2"/>
        <v>10, 10, 10, 11, 11</v>
      </c>
      <c r="N143" s="71">
        <f>IFERROR(__xludf.DUMMYFUNCTION("countunique(split(M143, "", ""))"),2.0)</f>
        <v>2</v>
      </c>
      <c r="O143" s="71">
        <f>IFERROR(__xludf.DUMMYFUNCTION("countif(split(K143,"",""),C143)"),2.0)</f>
        <v>2</v>
      </c>
      <c r="P143" s="55" t="b">
        <f>IFERROR(__xludf.DUMMYFUNCTION("MIN(split(J143,"",""))&lt;=7"),FALSE)</f>
        <v>0</v>
      </c>
      <c r="Q143" s="55" t="b">
        <f>IFERROR(__xludf.DUMMYFUNCTION("max(split(J143,"",""))&gt;=8"),TRUE)</f>
        <v>1</v>
      </c>
      <c r="R143" s="55" t="b">
        <f t="shared" si="3"/>
        <v>0</v>
      </c>
      <c r="S143" s="2" t="s">
        <v>4139</v>
      </c>
    </row>
    <row r="144">
      <c r="A144" s="65" t="s">
        <v>3617</v>
      </c>
      <c r="B144" s="42">
        <v>156.0</v>
      </c>
      <c r="C144" s="65" t="s">
        <v>3995</v>
      </c>
      <c r="D144" s="2" t="s">
        <v>19</v>
      </c>
      <c r="E144" s="70" t="s">
        <v>4140</v>
      </c>
      <c r="F144" s="2" t="s">
        <v>4141</v>
      </c>
      <c r="G144" s="2"/>
      <c r="H144" s="54" t="str">
        <f t="shared" si="1"/>
        <v>(P10)</v>
      </c>
      <c r="I144" s="54" t="str">
        <f>IFERROR(__xludf.DUMMYFUNCTION("concatenate(ARRAYFORMULA(""P"" &amp; SPLIT(J144, "","") &amp; "",""))"),"P10,")</f>
        <v>P10,</v>
      </c>
      <c r="J144" s="54" t="str">
        <f>IFERROR(__xludf.DUMMYFUNCTION("ArrayFormula(textjoin("", "",true,unique(trim(split(M144,"","")),true)))"),"10")</f>
        <v>10</v>
      </c>
      <c r="K144" s="65"/>
      <c r="L144" s="65"/>
      <c r="M144" s="54" t="str">
        <f t="shared" si="2"/>
        <v>10</v>
      </c>
      <c r="N144" s="71">
        <f>IFERROR(__xludf.DUMMYFUNCTION("countunique(split(M144, "", ""))"),1.0)</f>
        <v>1</v>
      </c>
      <c r="O144" s="71">
        <f>IFERROR(__xludf.DUMMYFUNCTION("countif(split(K144,"",""),C144)"),0.0)</f>
        <v>0</v>
      </c>
      <c r="P144" s="55" t="b">
        <f>IFERROR(__xludf.DUMMYFUNCTION("MIN(split(J144,"",""))&lt;=7"),FALSE)</f>
        <v>0</v>
      </c>
      <c r="Q144" s="55" t="b">
        <f>IFERROR(__xludf.DUMMYFUNCTION("max(split(J144,"",""))&gt;=8"),TRUE)</f>
        <v>1</v>
      </c>
      <c r="R144" s="55" t="b">
        <f t="shared" si="3"/>
        <v>0</v>
      </c>
      <c r="S144" s="2"/>
    </row>
    <row r="145">
      <c r="A145" s="65" t="s">
        <v>3619</v>
      </c>
      <c r="B145" s="42">
        <v>157.0</v>
      </c>
      <c r="C145" s="65" t="s">
        <v>3995</v>
      </c>
      <c r="D145" s="2" t="s">
        <v>19</v>
      </c>
      <c r="E145" s="70" t="s">
        <v>4142</v>
      </c>
      <c r="F145" s="2" t="s">
        <v>4143</v>
      </c>
      <c r="G145" s="2" t="s">
        <v>2705</v>
      </c>
      <c r="H145" s="54" t="str">
        <f t="shared" si="1"/>
        <v>(P10,P13)</v>
      </c>
      <c r="I145" s="54" t="str">
        <f>IFERROR(__xludf.DUMMYFUNCTION("concatenate(ARRAYFORMULA(""P"" &amp; SPLIT(J145, "","") &amp; "",""))"),"P10,P13,")</f>
        <v>P10,P13,</v>
      </c>
      <c r="J145" s="54" t="str">
        <f>IFERROR(__xludf.DUMMYFUNCTION("ArrayFormula(textjoin("", "",true,unique(trim(split(M145,"","")),true)))"),"10, 13")</f>
        <v>10, 13</v>
      </c>
      <c r="K145" s="65" t="s">
        <v>4144</v>
      </c>
      <c r="L145" s="65" t="s">
        <v>4145</v>
      </c>
      <c r="M145" s="54" t="str">
        <f t="shared" si="2"/>
        <v>10, 13, 13</v>
      </c>
      <c r="N145" s="71">
        <f>IFERROR(__xludf.DUMMYFUNCTION("countunique(split(M145, "", ""))"),2.0)</f>
        <v>2</v>
      </c>
      <c r="O145" s="71">
        <f>IFERROR(__xludf.DUMMYFUNCTION("countif(split(K145,"",""),C145)"),0.0)</f>
        <v>0</v>
      </c>
      <c r="P145" s="55" t="b">
        <f>IFERROR(__xludf.DUMMYFUNCTION("MIN(split(J145,"",""))&lt;=7"),FALSE)</f>
        <v>0</v>
      </c>
      <c r="Q145" s="55" t="b">
        <f>IFERROR(__xludf.DUMMYFUNCTION("max(split(J145,"",""))&gt;=8"),TRUE)</f>
        <v>1</v>
      </c>
      <c r="R145" s="55" t="b">
        <f t="shared" si="3"/>
        <v>0</v>
      </c>
      <c r="S145" s="2"/>
    </row>
    <row r="146">
      <c r="A146" s="65" t="s">
        <v>3621</v>
      </c>
      <c r="B146" s="42">
        <v>158.0</v>
      </c>
      <c r="C146" s="65" t="s">
        <v>3995</v>
      </c>
      <c r="D146" s="2" t="s">
        <v>19</v>
      </c>
      <c r="E146" s="70" t="s">
        <v>679</v>
      </c>
      <c r="F146" s="2" t="s">
        <v>2575</v>
      </c>
      <c r="G146" s="2"/>
      <c r="H146" s="54" t="str">
        <f t="shared" si="1"/>
        <v>(P10)</v>
      </c>
      <c r="I146" s="54" t="str">
        <f>IFERROR(__xludf.DUMMYFUNCTION("concatenate(ARRAYFORMULA(""P"" &amp; SPLIT(J146, "","") &amp; "",""))"),"P10,")</f>
        <v>P10,</v>
      </c>
      <c r="J146" s="54" t="str">
        <f>IFERROR(__xludf.DUMMYFUNCTION("ArrayFormula(textjoin("", "",true,unique(trim(split(M146,"","")),true)))"),"10")</f>
        <v>10</v>
      </c>
      <c r="K146" s="65"/>
      <c r="L146" s="65"/>
      <c r="M146" s="54" t="str">
        <f t="shared" si="2"/>
        <v>10</v>
      </c>
      <c r="N146" s="71">
        <f>IFERROR(__xludf.DUMMYFUNCTION("countunique(split(M146, "", ""))"),1.0)</f>
        <v>1</v>
      </c>
      <c r="O146" s="71">
        <f>IFERROR(__xludf.DUMMYFUNCTION("countif(split(K146,"",""),C146)"),0.0)</f>
        <v>0</v>
      </c>
      <c r="P146" s="55" t="b">
        <f>IFERROR(__xludf.DUMMYFUNCTION("MIN(split(J146,"",""))&lt;=7"),FALSE)</f>
        <v>0</v>
      </c>
      <c r="Q146" s="55" t="b">
        <f>IFERROR(__xludf.DUMMYFUNCTION("max(split(J146,"",""))&gt;=8"),TRUE)</f>
        <v>1</v>
      </c>
      <c r="R146" s="55" t="b">
        <f t="shared" si="3"/>
        <v>0</v>
      </c>
      <c r="S146" s="2"/>
    </row>
    <row r="147">
      <c r="A147" s="65" t="s">
        <v>3623</v>
      </c>
      <c r="B147" s="42">
        <v>159.0</v>
      </c>
      <c r="C147" s="65" t="s">
        <v>3995</v>
      </c>
      <c r="D147" s="2" t="s">
        <v>19</v>
      </c>
      <c r="E147" s="70" t="s">
        <v>681</v>
      </c>
      <c r="F147" s="2" t="s">
        <v>2576</v>
      </c>
      <c r="G147" s="2"/>
      <c r="H147" s="54" t="str">
        <f t="shared" si="1"/>
        <v>(P10)</v>
      </c>
      <c r="I147" s="54" t="str">
        <f>IFERROR(__xludf.DUMMYFUNCTION("concatenate(ARRAYFORMULA(""P"" &amp; SPLIT(J147, "","") &amp; "",""))"),"P10,")</f>
        <v>P10,</v>
      </c>
      <c r="J147" s="54" t="str">
        <f>IFERROR(__xludf.DUMMYFUNCTION("ArrayFormula(textjoin("", "",true,unique(trim(split(M147,"","")),true)))"),"10")</f>
        <v>10</v>
      </c>
      <c r="K147" s="65"/>
      <c r="L147" s="65"/>
      <c r="M147" s="54" t="str">
        <f t="shared" si="2"/>
        <v>10</v>
      </c>
      <c r="N147" s="71">
        <f>IFERROR(__xludf.DUMMYFUNCTION("countunique(split(M147, "", ""))"),1.0)</f>
        <v>1</v>
      </c>
      <c r="O147" s="71">
        <f>IFERROR(__xludf.DUMMYFUNCTION("countif(split(K147,"",""),C147)"),0.0)</f>
        <v>0</v>
      </c>
      <c r="P147" s="55" t="b">
        <f>IFERROR(__xludf.DUMMYFUNCTION("MIN(split(J147,"",""))&lt;=7"),FALSE)</f>
        <v>0</v>
      </c>
      <c r="Q147" s="55" t="b">
        <f>IFERROR(__xludf.DUMMYFUNCTION("max(split(J147,"",""))&gt;=8"),TRUE)</f>
        <v>1</v>
      </c>
      <c r="R147" s="55" t="b">
        <f t="shared" si="3"/>
        <v>0</v>
      </c>
      <c r="S147" s="2"/>
    </row>
    <row r="148">
      <c r="A148" s="65" t="s">
        <v>3630</v>
      </c>
      <c r="B148" s="42">
        <v>160.0</v>
      </c>
      <c r="C148" s="65" t="s">
        <v>3995</v>
      </c>
      <c r="D148" s="2" t="s">
        <v>19</v>
      </c>
      <c r="E148" s="70" t="s">
        <v>2582</v>
      </c>
      <c r="F148" s="2" t="s">
        <v>2583</v>
      </c>
      <c r="G148" s="2"/>
      <c r="H148" s="54" t="str">
        <f t="shared" si="1"/>
        <v>(P10)</v>
      </c>
      <c r="I148" s="54" t="str">
        <f>IFERROR(__xludf.DUMMYFUNCTION("concatenate(ARRAYFORMULA(""P"" &amp; SPLIT(J148, "","") &amp; "",""))"),"P10,")</f>
        <v>P10,</v>
      </c>
      <c r="J148" s="54" t="str">
        <f>IFERROR(__xludf.DUMMYFUNCTION("ArrayFormula(textjoin("", "",true,unique(trim(split(M148,"","")),true)))"),"10")</f>
        <v>10</v>
      </c>
      <c r="K148" s="65"/>
      <c r="L148" s="65"/>
      <c r="M148" s="54" t="str">
        <f t="shared" si="2"/>
        <v>10</v>
      </c>
      <c r="N148" s="71">
        <f>IFERROR(__xludf.DUMMYFUNCTION("countunique(split(M148, "", ""))"),1.0)</f>
        <v>1</v>
      </c>
      <c r="O148" s="71">
        <f>IFERROR(__xludf.DUMMYFUNCTION("countif(split(K148,"",""),C148)"),0.0)</f>
        <v>0</v>
      </c>
      <c r="P148" s="55" t="b">
        <f>IFERROR(__xludf.DUMMYFUNCTION("MIN(split(J148,"",""))&lt;=7"),FALSE)</f>
        <v>0</v>
      </c>
      <c r="Q148" s="55" t="b">
        <f>IFERROR(__xludf.DUMMYFUNCTION("max(split(J148,"",""))&gt;=8"),TRUE)</f>
        <v>1</v>
      </c>
      <c r="R148" s="55" t="b">
        <f t="shared" si="3"/>
        <v>0</v>
      </c>
      <c r="S148" s="2"/>
    </row>
    <row r="149">
      <c r="A149" s="65" t="s">
        <v>3635</v>
      </c>
      <c r="B149" s="42">
        <v>161.0</v>
      </c>
      <c r="C149" s="65" t="s">
        <v>3995</v>
      </c>
      <c r="D149" s="2" t="s">
        <v>19</v>
      </c>
      <c r="E149" s="70" t="s">
        <v>4146</v>
      </c>
      <c r="F149" s="42" t="s">
        <v>4147</v>
      </c>
      <c r="G149" s="2" t="s">
        <v>2590</v>
      </c>
      <c r="H149" s="54" t="str">
        <f t="shared" si="1"/>
        <v>(P10,P14)</v>
      </c>
      <c r="I149" s="54" t="str">
        <f>IFERROR(__xludf.DUMMYFUNCTION("concatenate(ARRAYFORMULA(""P"" &amp; SPLIT(J149, "","") &amp; "",""))"),"P10,P14,")</f>
        <v>P10,P14,</v>
      </c>
      <c r="J149" s="54" t="str">
        <f>IFERROR(__xludf.DUMMYFUNCTION("ArrayFormula(textjoin("", "",true,unique(trim(split(M149,"","")),true)))"),"10, 14")</f>
        <v>10, 14</v>
      </c>
      <c r="K149" s="65" t="s">
        <v>3270</v>
      </c>
      <c r="L149" s="65" t="s">
        <v>4148</v>
      </c>
      <c r="M149" s="54" t="str">
        <f t="shared" si="2"/>
        <v>10, 14, 14</v>
      </c>
      <c r="N149" s="71">
        <f>IFERROR(__xludf.DUMMYFUNCTION("countunique(split(M149, "", ""))"),2.0)</f>
        <v>2</v>
      </c>
      <c r="O149" s="71">
        <f>IFERROR(__xludf.DUMMYFUNCTION("countif(split(K149,"",""),C149)"),0.0)</f>
        <v>0</v>
      </c>
      <c r="P149" s="55" t="b">
        <f>IFERROR(__xludf.DUMMYFUNCTION("MIN(split(J149,"",""))&lt;=7"),FALSE)</f>
        <v>0</v>
      </c>
      <c r="Q149" s="55" t="b">
        <f>IFERROR(__xludf.DUMMYFUNCTION("max(split(J149,"",""))&gt;=8"),TRUE)</f>
        <v>1</v>
      </c>
      <c r="R149" s="55" t="b">
        <f t="shared" si="3"/>
        <v>0</v>
      </c>
      <c r="S149" s="2"/>
    </row>
    <row r="150">
      <c r="A150" s="65" t="s">
        <v>3636</v>
      </c>
      <c r="B150" s="42">
        <v>162.0</v>
      </c>
      <c r="C150" s="65" t="s">
        <v>3312</v>
      </c>
      <c r="D150" s="2" t="s">
        <v>19</v>
      </c>
      <c r="E150" s="70" t="s">
        <v>1149</v>
      </c>
      <c r="F150" s="2" t="s">
        <v>2593</v>
      </c>
      <c r="G150" s="2"/>
      <c r="H150" s="54" t="str">
        <f t="shared" si="1"/>
        <v>(P11)</v>
      </c>
      <c r="I150" s="54" t="str">
        <f>IFERROR(__xludf.DUMMYFUNCTION("concatenate(ARRAYFORMULA(""P"" &amp; SPLIT(J150, "","") &amp; "",""))"),"P11,")</f>
        <v>P11,</v>
      </c>
      <c r="J150" s="54" t="str">
        <f>IFERROR(__xludf.DUMMYFUNCTION("ArrayFormula(textjoin("", "",true,unique(trim(split(M150,"","")),true)))"),"11")</f>
        <v>11</v>
      </c>
      <c r="K150" s="65"/>
      <c r="L150" s="65"/>
      <c r="M150" s="54" t="str">
        <f t="shared" si="2"/>
        <v>11</v>
      </c>
      <c r="N150" s="71">
        <f>IFERROR(__xludf.DUMMYFUNCTION("countunique(split(M150, "", ""))"),1.0)</f>
        <v>1</v>
      </c>
      <c r="O150" s="71">
        <f>IFERROR(__xludf.DUMMYFUNCTION("countif(split(K150,"",""),C150)"),0.0)</f>
        <v>0</v>
      </c>
      <c r="P150" s="55" t="b">
        <f>IFERROR(__xludf.DUMMYFUNCTION("MIN(split(J150,"",""))&lt;=7"),FALSE)</f>
        <v>0</v>
      </c>
      <c r="Q150" s="55" t="b">
        <f>IFERROR(__xludf.DUMMYFUNCTION("max(split(J150,"",""))&gt;=8"),TRUE)</f>
        <v>1</v>
      </c>
      <c r="R150" s="55" t="b">
        <f t="shared" si="3"/>
        <v>0</v>
      </c>
      <c r="S150" s="2"/>
    </row>
    <row r="151">
      <c r="A151" s="65" t="s">
        <v>3640</v>
      </c>
      <c r="B151" s="42">
        <v>163.0</v>
      </c>
      <c r="C151" s="65" t="s">
        <v>3312</v>
      </c>
      <c r="D151" s="2" t="s">
        <v>19</v>
      </c>
      <c r="E151" s="70" t="s">
        <v>4149</v>
      </c>
      <c r="F151" s="2" t="s">
        <v>1708</v>
      </c>
      <c r="G151" s="2"/>
      <c r="H151" s="54" t="str">
        <f t="shared" si="1"/>
        <v>(P11)</v>
      </c>
      <c r="I151" s="54" t="str">
        <f>IFERROR(__xludf.DUMMYFUNCTION("concatenate(ARRAYFORMULA(""P"" &amp; SPLIT(J151, "","") &amp; "",""))"),"P11,")</f>
        <v>P11,</v>
      </c>
      <c r="J151" s="54" t="str">
        <f>IFERROR(__xludf.DUMMYFUNCTION("ArrayFormula(textjoin("", "",true,unique(trim(split(M151,"","")),true)))"),"11")</f>
        <v>11</v>
      </c>
      <c r="K151" s="65"/>
      <c r="L151" s="65"/>
      <c r="M151" s="54" t="str">
        <f t="shared" si="2"/>
        <v>11</v>
      </c>
      <c r="N151" s="71">
        <f>IFERROR(__xludf.DUMMYFUNCTION("countunique(split(M151, "", ""))"),1.0)</f>
        <v>1</v>
      </c>
      <c r="O151" s="71">
        <f>IFERROR(__xludf.DUMMYFUNCTION("countif(split(K151,"",""),C151)"),0.0)</f>
        <v>0</v>
      </c>
      <c r="P151" s="55" t="b">
        <f>IFERROR(__xludf.DUMMYFUNCTION("MIN(split(J151,"",""))&lt;=7"),FALSE)</f>
        <v>0</v>
      </c>
      <c r="Q151" s="55" t="b">
        <f>IFERROR(__xludf.DUMMYFUNCTION("max(split(J151,"",""))&gt;=8"),TRUE)</f>
        <v>1</v>
      </c>
      <c r="R151" s="55" t="b">
        <f t="shared" si="3"/>
        <v>0</v>
      </c>
      <c r="S151" s="2"/>
    </row>
    <row r="152">
      <c r="A152" s="65" t="s">
        <v>3644</v>
      </c>
      <c r="B152" s="42">
        <v>164.0</v>
      </c>
      <c r="C152" s="65" t="s">
        <v>3312</v>
      </c>
      <c r="D152" s="2" t="s">
        <v>19</v>
      </c>
      <c r="E152" s="70" t="s">
        <v>4150</v>
      </c>
      <c r="F152" s="42" t="s">
        <v>4151</v>
      </c>
      <c r="G152" s="2" t="s">
        <v>4152</v>
      </c>
      <c r="H152" s="54" t="str">
        <f t="shared" si="1"/>
        <v>(P11,P12)</v>
      </c>
      <c r="I152" s="54" t="str">
        <f>IFERROR(__xludf.DUMMYFUNCTION("concatenate(ARRAYFORMULA(""P"" &amp; SPLIT(J152, "","") &amp; "",""))"),"P11,P12,")</f>
        <v>P11,P12,</v>
      </c>
      <c r="J152" s="54" t="str">
        <f>IFERROR(__xludf.DUMMYFUNCTION("ArrayFormula(textjoin("", "",true,unique(trim(split(M152,"","")),true)))"),"11, 12")</f>
        <v>11, 12</v>
      </c>
      <c r="K152" s="65" t="s">
        <v>3316</v>
      </c>
      <c r="L152" s="65" t="s">
        <v>4153</v>
      </c>
      <c r="M152" s="54" t="str">
        <f t="shared" si="2"/>
        <v>11, 12, 12</v>
      </c>
      <c r="N152" s="71">
        <f>IFERROR(__xludf.DUMMYFUNCTION("countunique(split(M152, "", ""))"),2.0)</f>
        <v>2</v>
      </c>
      <c r="O152" s="71">
        <f>IFERROR(__xludf.DUMMYFUNCTION("countif(split(K152,"",""),C152)"),0.0)</f>
        <v>0</v>
      </c>
      <c r="P152" s="55" t="b">
        <f>IFERROR(__xludf.DUMMYFUNCTION("MIN(split(J152,"",""))&lt;=7"),FALSE)</f>
        <v>0</v>
      </c>
      <c r="Q152" s="55" t="b">
        <f>IFERROR(__xludf.DUMMYFUNCTION("max(split(J152,"",""))&gt;=8"),TRUE)</f>
        <v>1</v>
      </c>
      <c r="R152" s="55" t="b">
        <f t="shared" si="3"/>
        <v>0</v>
      </c>
      <c r="S152" s="2"/>
    </row>
    <row r="153">
      <c r="A153" s="65" t="s">
        <v>3647</v>
      </c>
      <c r="B153" s="42">
        <v>165.0</v>
      </c>
      <c r="C153" s="65" t="s">
        <v>3312</v>
      </c>
      <c r="D153" s="2" t="s">
        <v>19</v>
      </c>
      <c r="E153" s="70" t="s">
        <v>4154</v>
      </c>
      <c r="F153" s="2" t="s">
        <v>2605</v>
      </c>
      <c r="G153" s="2"/>
      <c r="H153" s="54" t="str">
        <f t="shared" si="1"/>
        <v>(P11)</v>
      </c>
      <c r="I153" s="54" t="str">
        <f>IFERROR(__xludf.DUMMYFUNCTION("concatenate(ARRAYFORMULA(""P"" &amp; SPLIT(J153, "","") &amp; "",""))"),"P11,")</f>
        <v>P11,</v>
      </c>
      <c r="J153" s="54" t="str">
        <f>IFERROR(__xludf.DUMMYFUNCTION("ArrayFormula(textjoin("", "",true,unique(trim(split(M153,"","")),true)))"),"11")</f>
        <v>11</v>
      </c>
      <c r="K153" s="65"/>
      <c r="L153" s="65"/>
      <c r="M153" s="54" t="str">
        <f t="shared" si="2"/>
        <v>11</v>
      </c>
      <c r="N153" s="71">
        <f>IFERROR(__xludf.DUMMYFUNCTION("countunique(split(M153, "", ""))"),1.0)</f>
        <v>1</v>
      </c>
      <c r="O153" s="71">
        <f>IFERROR(__xludf.DUMMYFUNCTION("countif(split(K153,"",""),C153)"),0.0)</f>
        <v>0</v>
      </c>
      <c r="P153" s="55" t="b">
        <f>IFERROR(__xludf.DUMMYFUNCTION("MIN(split(J153,"",""))&lt;=7"),FALSE)</f>
        <v>0</v>
      </c>
      <c r="Q153" s="55" t="b">
        <f>IFERROR(__xludf.DUMMYFUNCTION("max(split(J153,"",""))&gt;=8"),TRUE)</f>
        <v>1</v>
      </c>
      <c r="R153" s="55" t="b">
        <f t="shared" si="3"/>
        <v>0</v>
      </c>
      <c r="S153" s="2"/>
    </row>
    <row r="154">
      <c r="A154" s="65" t="s">
        <v>3649</v>
      </c>
      <c r="B154" s="42">
        <v>166.0</v>
      </c>
      <c r="C154" s="65" t="s">
        <v>3312</v>
      </c>
      <c r="D154" s="2" t="s">
        <v>19</v>
      </c>
      <c r="E154" s="70" t="s">
        <v>711</v>
      </c>
      <c r="F154" s="2" t="s">
        <v>3650</v>
      </c>
      <c r="G154" s="2"/>
      <c r="H154" s="54" t="str">
        <f t="shared" si="1"/>
        <v>(P11)</v>
      </c>
      <c r="I154" s="54" t="str">
        <f>IFERROR(__xludf.DUMMYFUNCTION("concatenate(ARRAYFORMULA(""P"" &amp; SPLIT(J154, "","") &amp; "",""))"),"P11,")</f>
        <v>P11,</v>
      </c>
      <c r="J154" s="54" t="str">
        <f>IFERROR(__xludf.DUMMYFUNCTION("ArrayFormula(textjoin("", "",true,unique(trim(split(M154,"","")),true)))"),"11")</f>
        <v>11</v>
      </c>
      <c r="K154" s="65"/>
      <c r="L154" s="65"/>
      <c r="M154" s="54" t="str">
        <f t="shared" si="2"/>
        <v>11</v>
      </c>
      <c r="N154" s="71">
        <f>IFERROR(__xludf.DUMMYFUNCTION("countunique(split(M154, "", ""))"),1.0)</f>
        <v>1</v>
      </c>
      <c r="O154" s="71">
        <f>IFERROR(__xludf.DUMMYFUNCTION("countif(split(K154,"",""),C154)"),0.0)</f>
        <v>0</v>
      </c>
      <c r="P154" s="55" t="b">
        <f>IFERROR(__xludf.DUMMYFUNCTION("MIN(split(J154,"",""))&lt;=7"),FALSE)</f>
        <v>0</v>
      </c>
      <c r="Q154" s="55" t="b">
        <f>IFERROR(__xludf.DUMMYFUNCTION("max(split(J154,"",""))&gt;=8"),TRUE)</f>
        <v>1</v>
      </c>
      <c r="R154" s="55" t="b">
        <f t="shared" si="3"/>
        <v>0</v>
      </c>
      <c r="S154" s="2"/>
    </row>
    <row r="155">
      <c r="A155" s="65" t="s">
        <v>3655</v>
      </c>
      <c r="B155" s="42">
        <v>167.0</v>
      </c>
      <c r="C155" s="65" t="s">
        <v>3312</v>
      </c>
      <c r="D155" s="2" t="s">
        <v>19</v>
      </c>
      <c r="E155" s="70" t="s">
        <v>1723</v>
      </c>
      <c r="F155" s="2" t="s">
        <v>1724</v>
      </c>
      <c r="G155" s="2"/>
      <c r="H155" s="54" t="str">
        <f t="shared" si="1"/>
        <v>(P11)</v>
      </c>
      <c r="I155" s="54" t="str">
        <f>IFERROR(__xludf.DUMMYFUNCTION("concatenate(ARRAYFORMULA(""P"" &amp; SPLIT(J155, "","") &amp; "",""))"),"P11,")</f>
        <v>P11,</v>
      </c>
      <c r="J155" s="54" t="str">
        <f>IFERROR(__xludf.DUMMYFUNCTION("ArrayFormula(textjoin("", "",true,unique(trim(split(M155,"","")),true)))"),"11")</f>
        <v>11</v>
      </c>
      <c r="K155" s="65"/>
      <c r="L155" s="65"/>
      <c r="M155" s="54" t="str">
        <f t="shared" si="2"/>
        <v>11</v>
      </c>
      <c r="N155" s="71">
        <f>IFERROR(__xludf.DUMMYFUNCTION("countunique(split(M155, "", ""))"),1.0)</f>
        <v>1</v>
      </c>
      <c r="O155" s="71">
        <f>IFERROR(__xludf.DUMMYFUNCTION("countif(split(K155,"",""),C155)"),0.0)</f>
        <v>0</v>
      </c>
      <c r="P155" s="55" t="b">
        <f>IFERROR(__xludf.DUMMYFUNCTION("MIN(split(J155,"",""))&lt;=7"),FALSE)</f>
        <v>0</v>
      </c>
      <c r="Q155" s="55" t="b">
        <f>IFERROR(__xludf.DUMMYFUNCTION("max(split(J155,"",""))&gt;=8"),TRUE)</f>
        <v>1</v>
      </c>
      <c r="R155" s="55" t="b">
        <f t="shared" si="3"/>
        <v>0</v>
      </c>
      <c r="S155" s="2"/>
    </row>
    <row r="156">
      <c r="A156" s="65" t="s">
        <v>3657</v>
      </c>
      <c r="B156" s="42">
        <v>168.0</v>
      </c>
      <c r="C156" s="65" t="s">
        <v>3312</v>
      </c>
      <c r="D156" s="2" t="s">
        <v>19</v>
      </c>
      <c r="E156" s="70" t="s">
        <v>1725</v>
      </c>
      <c r="F156" s="2" t="s">
        <v>1726</v>
      </c>
      <c r="G156" s="2"/>
      <c r="H156" s="54" t="str">
        <f t="shared" si="1"/>
        <v>(P11)</v>
      </c>
      <c r="I156" s="54" t="str">
        <f>IFERROR(__xludf.DUMMYFUNCTION("concatenate(ARRAYFORMULA(""P"" &amp; SPLIT(J156, "","") &amp; "",""))"),"P11,")</f>
        <v>P11,</v>
      </c>
      <c r="J156" s="54" t="str">
        <f>IFERROR(__xludf.DUMMYFUNCTION("ArrayFormula(textjoin("", "",true,unique(trim(split(M156,"","")),true)))"),"11")</f>
        <v>11</v>
      </c>
      <c r="K156" s="65"/>
      <c r="L156" s="65"/>
      <c r="M156" s="54" t="str">
        <f t="shared" si="2"/>
        <v>11</v>
      </c>
      <c r="N156" s="71">
        <f>IFERROR(__xludf.DUMMYFUNCTION("countunique(split(M156, "", ""))"),1.0)</f>
        <v>1</v>
      </c>
      <c r="O156" s="71">
        <f>IFERROR(__xludf.DUMMYFUNCTION("countif(split(K156,"",""),C156)"),0.0)</f>
        <v>0</v>
      </c>
      <c r="P156" s="55" t="b">
        <f>IFERROR(__xludf.DUMMYFUNCTION("MIN(split(J156,"",""))&lt;=7"),FALSE)</f>
        <v>0</v>
      </c>
      <c r="Q156" s="55" t="b">
        <f>IFERROR(__xludf.DUMMYFUNCTION("max(split(J156,"",""))&gt;=8"),TRUE)</f>
        <v>1</v>
      </c>
      <c r="R156" s="55" t="b">
        <f t="shared" si="3"/>
        <v>0</v>
      </c>
      <c r="S156" s="2"/>
    </row>
    <row r="157">
      <c r="A157" s="65" t="s">
        <v>3659</v>
      </c>
      <c r="B157" s="42">
        <v>169.0</v>
      </c>
      <c r="C157" s="65" t="s">
        <v>3312</v>
      </c>
      <c r="D157" s="2" t="s">
        <v>19</v>
      </c>
      <c r="E157" s="70" t="s">
        <v>1727</v>
      </c>
      <c r="F157" s="2" t="s">
        <v>1728</v>
      </c>
      <c r="G157" s="2"/>
      <c r="H157" s="54" t="str">
        <f t="shared" si="1"/>
        <v>(P11)</v>
      </c>
      <c r="I157" s="54" t="str">
        <f>IFERROR(__xludf.DUMMYFUNCTION("concatenate(ARRAYFORMULA(""P"" &amp; SPLIT(J157, "","") &amp; "",""))"),"P11,")</f>
        <v>P11,</v>
      </c>
      <c r="J157" s="54" t="str">
        <f>IFERROR(__xludf.DUMMYFUNCTION("ArrayFormula(textjoin("", "",true,unique(trim(split(M157,"","")),true)))"),"11")</f>
        <v>11</v>
      </c>
      <c r="K157" s="65"/>
      <c r="L157" s="65"/>
      <c r="M157" s="54" t="str">
        <f t="shared" si="2"/>
        <v>11</v>
      </c>
      <c r="N157" s="71">
        <f>IFERROR(__xludf.DUMMYFUNCTION("countunique(split(M157, "", ""))"),1.0)</f>
        <v>1</v>
      </c>
      <c r="O157" s="71">
        <f>IFERROR(__xludf.DUMMYFUNCTION("countif(split(K157,"",""),C157)"),0.0)</f>
        <v>0</v>
      </c>
      <c r="P157" s="55" t="b">
        <f>IFERROR(__xludf.DUMMYFUNCTION("MIN(split(J157,"",""))&lt;=7"),FALSE)</f>
        <v>0</v>
      </c>
      <c r="Q157" s="55" t="b">
        <f>IFERROR(__xludf.DUMMYFUNCTION("max(split(J157,"",""))&gt;=8"),TRUE)</f>
        <v>1</v>
      </c>
      <c r="R157" s="55" t="b">
        <f t="shared" si="3"/>
        <v>0</v>
      </c>
      <c r="S157" s="2"/>
    </row>
    <row r="158">
      <c r="A158" s="65" t="s">
        <v>3661</v>
      </c>
      <c r="B158" s="42">
        <v>170.0</v>
      </c>
      <c r="C158" s="65" t="s">
        <v>3312</v>
      </c>
      <c r="D158" s="2" t="s">
        <v>19</v>
      </c>
      <c r="E158" s="70" t="s">
        <v>4155</v>
      </c>
      <c r="F158" s="2" t="s">
        <v>2613</v>
      </c>
      <c r="G158" s="2"/>
      <c r="H158" s="54" t="str">
        <f t="shared" si="1"/>
        <v>(P11)</v>
      </c>
      <c r="I158" s="54" t="str">
        <f>IFERROR(__xludf.DUMMYFUNCTION("concatenate(ARRAYFORMULA(""P"" &amp; SPLIT(J158, "","") &amp; "",""))"),"P11,")</f>
        <v>P11,</v>
      </c>
      <c r="J158" s="54" t="str">
        <f>IFERROR(__xludf.DUMMYFUNCTION("ArrayFormula(textjoin("", "",true,unique(trim(split(M158,"","")),true)))"),"11")</f>
        <v>11</v>
      </c>
      <c r="K158" s="65"/>
      <c r="L158" s="65"/>
      <c r="M158" s="54" t="str">
        <f t="shared" si="2"/>
        <v>11</v>
      </c>
      <c r="N158" s="71">
        <f>IFERROR(__xludf.DUMMYFUNCTION("countunique(split(M158, "", ""))"),1.0)</f>
        <v>1</v>
      </c>
      <c r="O158" s="71">
        <f>IFERROR(__xludf.DUMMYFUNCTION("countif(split(K158,"",""),C158)"),0.0)</f>
        <v>0</v>
      </c>
      <c r="P158" s="55" t="b">
        <f>IFERROR(__xludf.DUMMYFUNCTION("MIN(split(J158,"",""))&lt;=7"),FALSE)</f>
        <v>0</v>
      </c>
      <c r="Q158" s="55" t="b">
        <f>IFERROR(__xludf.DUMMYFUNCTION("max(split(J158,"",""))&gt;=8"),TRUE)</f>
        <v>1</v>
      </c>
      <c r="R158" s="55" t="b">
        <f t="shared" si="3"/>
        <v>0</v>
      </c>
      <c r="S158" s="2"/>
    </row>
    <row r="159">
      <c r="A159" s="65" t="s">
        <v>3665</v>
      </c>
      <c r="B159" s="42">
        <v>171.0</v>
      </c>
      <c r="C159" s="65" t="s">
        <v>3312</v>
      </c>
      <c r="D159" s="2" t="s">
        <v>19</v>
      </c>
      <c r="E159" s="70" t="s">
        <v>4156</v>
      </c>
      <c r="F159" s="2" t="s">
        <v>2625</v>
      </c>
      <c r="G159" s="2"/>
      <c r="H159" s="54" t="str">
        <f t="shared" si="1"/>
        <v>(P11)</v>
      </c>
      <c r="I159" s="54" t="str">
        <f>IFERROR(__xludf.DUMMYFUNCTION("concatenate(ARRAYFORMULA(""P"" &amp; SPLIT(J159, "","") &amp; "",""))"),"P11,")</f>
        <v>P11,</v>
      </c>
      <c r="J159" s="54" t="str">
        <f>IFERROR(__xludf.DUMMYFUNCTION("ArrayFormula(textjoin("", "",true,unique(trim(split(M159,"","")),true)))"),"11")</f>
        <v>11</v>
      </c>
      <c r="K159" s="65"/>
      <c r="L159" s="65"/>
      <c r="M159" s="54" t="str">
        <f t="shared" si="2"/>
        <v>11</v>
      </c>
      <c r="N159" s="71">
        <f>IFERROR(__xludf.DUMMYFUNCTION("countunique(split(M159, "", ""))"),1.0)</f>
        <v>1</v>
      </c>
      <c r="O159" s="71">
        <f>IFERROR(__xludf.DUMMYFUNCTION("countif(split(K159,"",""),C159)"),0.0)</f>
        <v>0</v>
      </c>
      <c r="P159" s="55" t="b">
        <f>IFERROR(__xludf.DUMMYFUNCTION("MIN(split(J159,"",""))&lt;=7"),FALSE)</f>
        <v>0</v>
      </c>
      <c r="Q159" s="55" t="b">
        <f>IFERROR(__xludf.DUMMYFUNCTION("max(split(J159,"",""))&gt;=8"),TRUE)</f>
        <v>1</v>
      </c>
      <c r="R159" s="55" t="b">
        <f t="shared" si="3"/>
        <v>0</v>
      </c>
      <c r="S159" s="2"/>
    </row>
    <row r="160">
      <c r="A160" s="65" t="s">
        <v>3666</v>
      </c>
      <c r="B160" s="42">
        <v>172.0</v>
      </c>
      <c r="C160" s="65" t="s">
        <v>3312</v>
      </c>
      <c r="D160" s="2" t="s">
        <v>19</v>
      </c>
      <c r="E160" s="70" t="s">
        <v>4157</v>
      </c>
      <c r="F160" s="42" t="s">
        <v>4158</v>
      </c>
      <c r="G160" s="2" t="s">
        <v>4159</v>
      </c>
      <c r="H160" s="54" t="str">
        <f t="shared" si="1"/>
        <v>(P11)</v>
      </c>
      <c r="I160" s="54" t="str">
        <f>IFERROR(__xludf.DUMMYFUNCTION("concatenate(ARRAYFORMULA(""P"" &amp; SPLIT(J160, "","") &amp; "",""))"),"P11,")</f>
        <v>P11,</v>
      </c>
      <c r="J160" s="54" t="str">
        <f>IFERROR(__xludf.DUMMYFUNCTION("ArrayFormula(textjoin("", "",true,unique(trim(split(M160,"","")),true)))"),"11")</f>
        <v>11</v>
      </c>
      <c r="K160" s="65" t="s">
        <v>3312</v>
      </c>
      <c r="L160" s="65" t="s">
        <v>3671</v>
      </c>
      <c r="M160" s="54" t="str">
        <f t="shared" si="2"/>
        <v>11, 11</v>
      </c>
      <c r="N160" s="71">
        <f>IFERROR(__xludf.DUMMYFUNCTION("countunique(split(M160, "", ""))"),1.0)</f>
        <v>1</v>
      </c>
      <c r="O160" s="71">
        <f>IFERROR(__xludf.DUMMYFUNCTION("countif(split(K160,"",""),C160)"),1.0)</f>
        <v>1</v>
      </c>
      <c r="P160" s="55" t="b">
        <f>IFERROR(__xludf.DUMMYFUNCTION("MIN(split(J160,"",""))&lt;=7"),FALSE)</f>
        <v>0</v>
      </c>
      <c r="Q160" s="55" t="b">
        <f>IFERROR(__xludf.DUMMYFUNCTION("max(split(J160,"",""))&gt;=8"),TRUE)</f>
        <v>1</v>
      </c>
      <c r="R160" s="55" t="b">
        <f t="shared" si="3"/>
        <v>0</v>
      </c>
      <c r="S160" s="2" t="s">
        <v>4160</v>
      </c>
    </row>
    <row r="161">
      <c r="A161" s="65" t="s">
        <v>3668</v>
      </c>
      <c r="B161" s="42">
        <v>173.0</v>
      </c>
      <c r="C161" s="65" t="s">
        <v>3312</v>
      </c>
      <c r="D161" s="2" t="s">
        <v>19</v>
      </c>
      <c r="E161" s="70" t="s">
        <v>4161</v>
      </c>
      <c r="F161" s="2" t="s">
        <v>2626</v>
      </c>
      <c r="G161" s="2"/>
      <c r="H161" s="54" t="str">
        <f t="shared" si="1"/>
        <v>(P11)</v>
      </c>
      <c r="I161" s="54" t="str">
        <f>IFERROR(__xludf.DUMMYFUNCTION("concatenate(ARRAYFORMULA(""P"" &amp; SPLIT(J161, "","") &amp; "",""))"),"P11,")</f>
        <v>P11,</v>
      </c>
      <c r="J161" s="54" t="str">
        <f>IFERROR(__xludf.DUMMYFUNCTION("ArrayFormula(textjoin("", "",true,unique(trim(split(M161,"","")),true)))"),"11")</f>
        <v>11</v>
      </c>
      <c r="K161" s="65"/>
      <c r="L161" s="65"/>
      <c r="M161" s="54" t="str">
        <f t="shared" si="2"/>
        <v>11</v>
      </c>
      <c r="N161" s="71">
        <f>IFERROR(__xludf.DUMMYFUNCTION("countunique(split(M161, "", ""))"),1.0)</f>
        <v>1</v>
      </c>
      <c r="O161" s="71">
        <f>IFERROR(__xludf.DUMMYFUNCTION("countif(split(K161,"",""),C161)"),0.0)</f>
        <v>0</v>
      </c>
      <c r="P161" s="55" t="b">
        <f>IFERROR(__xludf.DUMMYFUNCTION("MIN(split(J161,"",""))&lt;=7"),FALSE)</f>
        <v>0</v>
      </c>
      <c r="Q161" s="55" t="b">
        <f>IFERROR(__xludf.DUMMYFUNCTION("max(split(J161,"",""))&gt;=8"),TRUE)</f>
        <v>1</v>
      </c>
      <c r="R161" s="55" t="b">
        <f t="shared" si="3"/>
        <v>0</v>
      </c>
      <c r="S161" s="2"/>
    </row>
    <row r="162">
      <c r="A162" s="65" t="s">
        <v>3678</v>
      </c>
      <c r="B162" s="42">
        <v>175.0</v>
      </c>
      <c r="C162" s="65" t="s">
        <v>3357</v>
      </c>
      <c r="D162" s="2" t="s">
        <v>19</v>
      </c>
      <c r="E162" s="70" t="s">
        <v>4162</v>
      </c>
      <c r="F162" s="42" t="s">
        <v>4163</v>
      </c>
      <c r="G162" s="2" t="s">
        <v>4164</v>
      </c>
      <c r="H162" s="54" t="str">
        <f t="shared" si="1"/>
        <v>(P12)</v>
      </c>
      <c r="I162" s="54" t="str">
        <f>IFERROR(__xludf.DUMMYFUNCTION("concatenate(ARRAYFORMULA(""P"" &amp; SPLIT(J162, "","") &amp; "",""))"),"P12,")</f>
        <v>P12,</v>
      </c>
      <c r="J162" s="54" t="str">
        <f>IFERROR(__xludf.DUMMYFUNCTION("ArrayFormula(textjoin("", "",true,unique(trim(split(M162,"","")),true)))"),"12")</f>
        <v>12</v>
      </c>
      <c r="K162" s="65" t="s">
        <v>3357</v>
      </c>
      <c r="L162" s="65" t="s">
        <v>3713</v>
      </c>
      <c r="M162" s="54" t="str">
        <f t="shared" si="2"/>
        <v>12, 12</v>
      </c>
      <c r="N162" s="71">
        <f>IFERROR(__xludf.DUMMYFUNCTION("countunique(split(M162, "", ""))"),1.0)</f>
        <v>1</v>
      </c>
      <c r="O162" s="71">
        <f>IFERROR(__xludf.DUMMYFUNCTION("countif(split(K162,"",""),C162)"),1.0)</f>
        <v>1</v>
      </c>
      <c r="P162" s="55" t="b">
        <f>IFERROR(__xludf.DUMMYFUNCTION("MIN(split(J162,"",""))&lt;=7"),FALSE)</f>
        <v>0</v>
      </c>
      <c r="Q162" s="55" t="b">
        <f>IFERROR(__xludf.DUMMYFUNCTION("max(split(J162,"",""))&gt;=8"),TRUE)</f>
        <v>1</v>
      </c>
      <c r="R162" s="55" t="b">
        <f t="shared" si="3"/>
        <v>0</v>
      </c>
      <c r="S162" s="2"/>
    </row>
    <row r="163">
      <c r="A163" s="65" t="s">
        <v>3683</v>
      </c>
      <c r="B163" s="42">
        <v>176.0</v>
      </c>
      <c r="C163" s="65" t="s">
        <v>3357</v>
      </c>
      <c r="D163" s="2" t="s">
        <v>19</v>
      </c>
      <c r="E163" s="70" t="s">
        <v>4165</v>
      </c>
      <c r="F163" s="42" t="s">
        <v>2644</v>
      </c>
      <c r="G163" s="2"/>
      <c r="H163" s="54" t="str">
        <f t="shared" si="1"/>
        <v>(P12)</v>
      </c>
      <c r="I163" s="54" t="str">
        <f>IFERROR(__xludf.DUMMYFUNCTION("concatenate(ARRAYFORMULA(""P"" &amp; SPLIT(J163, "","") &amp; "",""))"),"P12,")</f>
        <v>P12,</v>
      </c>
      <c r="J163" s="54" t="str">
        <f>IFERROR(__xludf.DUMMYFUNCTION("ArrayFormula(textjoin("", "",true,unique(trim(split(M163,"","")),true)))"),"12")</f>
        <v>12</v>
      </c>
      <c r="K163" s="65"/>
      <c r="L163" s="65"/>
      <c r="M163" s="54" t="str">
        <f t="shared" si="2"/>
        <v>12</v>
      </c>
      <c r="N163" s="71">
        <f>IFERROR(__xludf.DUMMYFUNCTION("countunique(split(M163, "", ""))"),1.0)</f>
        <v>1</v>
      </c>
      <c r="O163" s="71">
        <f>IFERROR(__xludf.DUMMYFUNCTION("countif(split(K163,"",""),C163)"),0.0)</f>
        <v>0</v>
      </c>
      <c r="P163" s="55" t="b">
        <f>IFERROR(__xludf.DUMMYFUNCTION("MIN(split(J163,"",""))&lt;=7"),FALSE)</f>
        <v>0</v>
      </c>
      <c r="Q163" s="55" t="b">
        <f>IFERROR(__xludf.DUMMYFUNCTION("max(split(J163,"",""))&gt;=8"),TRUE)</f>
        <v>1</v>
      </c>
      <c r="R163" s="55" t="b">
        <f t="shared" si="3"/>
        <v>0</v>
      </c>
      <c r="S163" s="2"/>
    </row>
    <row r="164">
      <c r="A164" s="65" t="s">
        <v>3685</v>
      </c>
      <c r="B164" s="42">
        <v>177.0</v>
      </c>
      <c r="C164" s="65" t="s">
        <v>3357</v>
      </c>
      <c r="D164" s="2" t="s">
        <v>19</v>
      </c>
      <c r="E164" s="70" t="s">
        <v>1771</v>
      </c>
      <c r="F164" s="42" t="s">
        <v>2645</v>
      </c>
      <c r="G164" s="2"/>
      <c r="H164" s="54" t="str">
        <f t="shared" si="1"/>
        <v>(P12)</v>
      </c>
      <c r="I164" s="54" t="str">
        <f>IFERROR(__xludf.DUMMYFUNCTION("concatenate(ARRAYFORMULA(""P"" &amp; SPLIT(J164, "","") &amp; "",""))"),"P12,")</f>
        <v>P12,</v>
      </c>
      <c r="J164" s="54" t="str">
        <f>IFERROR(__xludf.DUMMYFUNCTION("ArrayFormula(textjoin("", "",true,unique(trim(split(M164,"","")),true)))"),"12")</f>
        <v>12</v>
      </c>
      <c r="K164" s="65"/>
      <c r="L164" s="65"/>
      <c r="M164" s="54" t="str">
        <f t="shared" si="2"/>
        <v>12</v>
      </c>
      <c r="N164" s="71">
        <f>IFERROR(__xludf.DUMMYFUNCTION("countunique(split(M164, "", ""))"),1.0)</f>
        <v>1</v>
      </c>
      <c r="O164" s="71">
        <f>IFERROR(__xludf.DUMMYFUNCTION("countif(split(K164,"",""),C164)"),0.0)</f>
        <v>0</v>
      </c>
      <c r="P164" s="55" t="b">
        <f>IFERROR(__xludf.DUMMYFUNCTION("MIN(split(J164,"",""))&lt;=7"),FALSE)</f>
        <v>0</v>
      </c>
      <c r="Q164" s="55" t="b">
        <f>IFERROR(__xludf.DUMMYFUNCTION("max(split(J164,"",""))&gt;=8"),TRUE)</f>
        <v>1</v>
      </c>
      <c r="R164" s="55" t="b">
        <f t="shared" si="3"/>
        <v>0</v>
      </c>
      <c r="S164" s="2"/>
    </row>
    <row r="165">
      <c r="A165" s="65" t="s">
        <v>3700</v>
      </c>
      <c r="B165" s="42">
        <v>178.0</v>
      </c>
      <c r="C165" s="65" t="s">
        <v>3357</v>
      </c>
      <c r="D165" s="2" t="s">
        <v>19</v>
      </c>
      <c r="E165" s="70" t="s">
        <v>3701</v>
      </c>
      <c r="F165" s="42" t="s">
        <v>2658</v>
      </c>
      <c r="G165" s="2"/>
      <c r="H165" s="54" t="str">
        <f t="shared" si="1"/>
        <v>(P12)</v>
      </c>
      <c r="I165" s="54" t="str">
        <f>IFERROR(__xludf.DUMMYFUNCTION("concatenate(ARRAYFORMULA(""P"" &amp; SPLIT(J165, "","") &amp; "",""))"),"P12,")</f>
        <v>P12,</v>
      </c>
      <c r="J165" s="54" t="str">
        <f>IFERROR(__xludf.DUMMYFUNCTION("ArrayFormula(textjoin("", "",true,unique(trim(split(M165,"","")),true)))"),"12")</f>
        <v>12</v>
      </c>
      <c r="K165" s="65"/>
      <c r="L165" s="65"/>
      <c r="M165" s="54" t="str">
        <f t="shared" si="2"/>
        <v>12</v>
      </c>
      <c r="N165" s="71">
        <f>IFERROR(__xludf.DUMMYFUNCTION("countunique(split(M165, "", ""))"),1.0)</f>
        <v>1</v>
      </c>
      <c r="O165" s="71">
        <f>IFERROR(__xludf.DUMMYFUNCTION("countif(split(K165,"",""),C165)"),0.0)</f>
        <v>0</v>
      </c>
      <c r="P165" s="55" t="b">
        <f>IFERROR(__xludf.DUMMYFUNCTION("MIN(split(J165,"",""))&lt;=7"),FALSE)</f>
        <v>0</v>
      </c>
      <c r="Q165" s="55" t="b">
        <f>IFERROR(__xludf.DUMMYFUNCTION("max(split(J165,"",""))&gt;=8"),TRUE)</f>
        <v>1</v>
      </c>
      <c r="R165" s="55" t="b">
        <f t="shared" si="3"/>
        <v>0</v>
      </c>
      <c r="S165" s="2"/>
    </row>
    <row r="166">
      <c r="A166" s="65" t="s">
        <v>3703</v>
      </c>
      <c r="B166" s="42">
        <v>179.0</v>
      </c>
      <c r="C166" s="65" t="s">
        <v>3357</v>
      </c>
      <c r="D166" s="2" t="s">
        <v>19</v>
      </c>
      <c r="E166" s="70" t="s">
        <v>3704</v>
      </c>
      <c r="F166" s="42" t="s">
        <v>4166</v>
      </c>
      <c r="G166" s="2"/>
      <c r="H166" s="54" t="str">
        <f t="shared" si="1"/>
        <v>(P12)</v>
      </c>
      <c r="I166" s="54" t="str">
        <f>IFERROR(__xludf.DUMMYFUNCTION("concatenate(ARRAYFORMULA(""P"" &amp; SPLIT(J166, "","") &amp; "",""))"),"P12,")</f>
        <v>P12,</v>
      </c>
      <c r="J166" s="54" t="str">
        <f>IFERROR(__xludf.DUMMYFUNCTION("ArrayFormula(textjoin("", "",true,unique(trim(split(M166,"","")),true)))"),"12")</f>
        <v>12</v>
      </c>
      <c r="K166" s="65"/>
      <c r="L166" s="65"/>
      <c r="M166" s="54" t="str">
        <f t="shared" si="2"/>
        <v>12</v>
      </c>
      <c r="N166" s="71">
        <f>IFERROR(__xludf.DUMMYFUNCTION("countunique(split(M166, "", ""))"),1.0)</f>
        <v>1</v>
      </c>
      <c r="O166" s="71">
        <f>IFERROR(__xludf.DUMMYFUNCTION("countif(split(K166,"",""),C166)"),0.0)</f>
        <v>0</v>
      </c>
      <c r="P166" s="55" t="b">
        <f>IFERROR(__xludf.DUMMYFUNCTION("MIN(split(J166,"",""))&lt;=7"),FALSE)</f>
        <v>0</v>
      </c>
      <c r="Q166" s="55" t="b">
        <f>IFERROR(__xludf.DUMMYFUNCTION("max(split(J166,"",""))&gt;=8"),TRUE)</f>
        <v>1</v>
      </c>
      <c r="R166" s="55" t="b">
        <f t="shared" si="3"/>
        <v>0</v>
      </c>
      <c r="S166" s="2"/>
    </row>
    <row r="167">
      <c r="A167" s="65" t="s">
        <v>3705</v>
      </c>
      <c r="B167" s="42">
        <v>180.0</v>
      </c>
      <c r="C167" s="65" t="s">
        <v>3357</v>
      </c>
      <c r="D167" s="2" t="s">
        <v>19</v>
      </c>
      <c r="E167" s="70" t="s">
        <v>4167</v>
      </c>
      <c r="F167" s="42" t="s">
        <v>2663</v>
      </c>
      <c r="G167" s="2"/>
      <c r="H167" s="54" t="str">
        <f t="shared" si="1"/>
        <v>(P12)</v>
      </c>
      <c r="I167" s="54" t="str">
        <f>IFERROR(__xludf.DUMMYFUNCTION("concatenate(ARRAYFORMULA(""P"" &amp; SPLIT(J167, "","") &amp; "",""))"),"P12,")</f>
        <v>P12,</v>
      </c>
      <c r="J167" s="54" t="str">
        <f>IFERROR(__xludf.DUMMYFUNCTION("ArrayFormula(textjoin("", "",true,unique(trim(split(M167,"","")),true)))"),"12")</f>
        <v>12</v>
      </c>
      <c r="K167" s="65"/>
      <c r="L167" s="65"/>
      <c r="M167" s="54" t="str">
        <f t="shared" si="2"/>
        <v>12</v>
      </c>
      <c r="N167" s="71">
        <f>IFERROR(__xludf.DUMMYFUNCTION("countunique(split(M167, "", ""))"),1.0)</f>
        <v>1</v>
      </c>
      <c r="O167" s="71">
        <f>IFERROR(__xludf.DUMMYFUNCTION("countif(split(K167,"",""),C167)"),0.0)</f>
        <v>0</v>
      </c>
      <c r="P167" s="55" t="b">
        <f>IFERROR(__xludf.DUMMYFUNCTION("MIN(split(J167,"",""))&lt;=7"),FALSE)</f>
        <v>0</v>
      </c>
      <c r="Q167" s="55" t="b">
        <f>IFERROR(__xludf.DUMMYFUNCTION("max(split(J167,"",""))&gt;=8"),TRUE)</f>
        <v>1</v>
      </c>
      <c r="R167" s="55" t="b">
        <f t="shared" si="3"/>
        <v>0</v>
      </c>
      <c r="S167" s="2"/>
    </row>
    <row r="168">
      <c r="A168" s="65" t="s">
        <v>3715</v>
      </c>
      <c r="B168" s="42">
        <v>181.0</v>
      </c>
      <c r="C168" s="65" t="s">
        <v>3357</v>
      </c>
      <c r="D168" s="2" t="s">
        <v>19</v>
      </c>
      <c r="E168" s="70" t="s">
        <v>779</v>
      </c>
      <c r="F168" s="42" t="s">
        <v>2669</v>
      </c>
      <c r="G168" s="2"/>
      <c r="H168" s="54" t="str">
        <f t="shared" si="1"/>
        <v>(P12)</v>
      </c>
      <c r="I168" s="54" t="str">
        <f>IFERROR(__xludf.DUMMYFUNCTION("concatenate(ARRAYFORMULA(""P"" &amp; SPLIT(J168, "","") &amp; "",""))"),"P12,")</f>
        <v>P12,</v>
      </c>
      <c r="J168" s="54" t="str">
        <f>IFERROR(__xludf.DUMMYFUNCTION("ArrayFormula(textjoin("", "",true,unique(trim(split(M168,"","")),true)))"),"12")</f>
        <v>12</v>
      </c>
      <c r="K168" s="65"/>
      <c r="L168" s="65"/>
      <c r="M168" s="54" t="str">
        <f t="shared" si="2"/>
        <v>12</v>
      </c>
      <c r="N168" s="71">
        <f>IFERROR(__xludf.DUMMYFUNCTION("countunique(split(M168, "", ""))"),1.0)</f>
        <v>1</v>
      </c>
      <c r="O168" s="71">
        <f>IFERROR(__xludf.DUMMYFUNCTION("countif(split(K168,"",""),C168)"),0.0)</f>
        <v>0</v>
      </c>
      <c r="P168" s="55" t="b">
        <f>IFERROR(__xludf.DUMMYFUNCTION("MIN(split(J168,"",""))&lt;=7"),FALSE)</f>
        <v>0</v>
      </c>
      <c r="Q168" s="55" t="b">
        <f>IFERROR(__xludf.DUMMYFUNCTION("max(split(J168,"",""))&gt;=8"),TRUE)</f>
        <v>1</v>
      </c>
      <c r="R168" s="55" t="b">
        <f t="shared" si="3"/>
        <v>0</v>
      </c>
      <c r="S168" s="2"/>
    </row>
    <row r="169">
      <c r="A169" s="65" t="s">
        <v>3725</v>
      </c>
      <c r="B169" s="42">
        <v>183.0</v>
      </c>
      <c r="C169" s="65" t="s">
        <v>3357</v>
      </c>
      <c r="D169" s="2" t="s">
        <v>19</v>
      </c>
      <c r="E169" s="70" t="s">
        <v>4168</v>
      </c>
      <c r="F169" s="42" t="s">
        <v>4169</v>
      </c>
      <c r="G169" s="3" t="s">
        <v>4170</v>
      </c>
      <c r="H169" s="54" t="str">
        <f t="shared" si="1"/>
        <v>(P12,P13)</v>
      </c>
      <c r="I169" s="54" t="str">
        <f>IFERROR(__xludf.DUMMYFUNCTION("concatenate(ARRAYFORMULA(""P"" &amp; SPLIT(J169, "","") &amp; "",""))"),"P12,P13,")</f>
        <v>P12,P13,</v>
      </c>
      <c r="J169" s="54" t="str">
        <f>IFERROR(__xludf.DUMMYFUNCTION("ArrayFormula(textjoin("", "",true,unique(trim(split(M169,"","")),true)))"),"12, 13")</f>
        <v>12, 13</v>
      </c>
      <c r="K169" s="65" t="s">
        <v>4171</v>
      </c>
      <c r="L169" s="65" t="s">
        <v>4172</v>
      </c>
      <c r="M169" s="54" t="str">
        <f t="shared" si="2"/>
        <v>12, 12, 13</v>
      </c>
      <c r="N169" s="71">
        <f>IFERROR(__xludf.DUMMYFUNCTION("countunique(split(M169, "", ""))"),2.0)</f>
        <v>2</v>
      </c>
      <c r="O169" s="71">
        <f>IFERROR(__xludf.DUMMYFUNCTION("countif(split(K169,"",""),C169)"),1.0)</f>
        <v>1</v>
      </c>
      <c r="P169" s="55" t="b">
        <f>IFERROR(__xludf.DUMMYFUNCTION("MIN(split(J169,"",""))&lt;=7"),FALSE)</f>
        <v>0</v>
      </c>
      <c r="Q169" s="55" t="b">
        <f>IFERROR(__xludf.DUMMYFUNCTION("max(split(J169,"",""))&gt;=8"),TRUE)</f>
        <v>1</v>
      </c>
      <c r="R169" s="55" t="b">
        <f t="shared" si="3"/>
        <v>0</v>
      </c>
      <c r="S169" s="2"/>
    </row>
    <row r="170">
      <c r="A170" s="65" t="s">
        <v>3733</v>
      </c>
      <c r="B170" s="42">
        <v>184.0</v>
      </c>
      <c r="C170" s="65" t="s">
        <v>3357</v>
      </c>
      <c r="D170" s="2" t="s">
        <v>19</v>
      </c>
      <c r="E170" s="70" t="s">
        <v>4173</v>
      </c>
      <c r="F170" s="2" t="s">
        <v>4174</v>
      </c>
      <c r="G170" s="2" t="s">
        <v>4175</v>
      </c>
      <c r="H170" s="54" t="str">
        <f t="shared" si="1"/>
        <v>(P12,P14)</v>
      </c>
      <c r="I170" s="54" t="str">
        <f>IFERROR(__xludf.DUMMYFUNCTION("concatenate(ARRAYFORMULA(""P"" &amp; SPLIT(J170, "","") &amp; "",""))"),"P12,P14,")</f>
        <v>P12,P14,</v>
      </c>
      <c r="J170" s="54" t="str">
        <f>IFERROR(__xludf.DUMMYFUNCTION("ArrayFormula(textjoin("", "",true,unique(trim(split(M170,"","")),true)))"),"12, 14")</f>
        <v>12, 14</v>
      </c>
      <c r="K170" s="65" t="s">
        <v>3270</v>
      </c>
      <c r="L170" s="65" t="s">
        <v>4176</v>
      </c>
      <c r="M170" s="54" t="str">
        <f t="shared" si="2"/>
        <v>12, 14, 14</v>
      </c>
      <c r="N170" s="71">
        <f>IFERROR(__xludf.DUMMYFUNCTION("countunique(split(M170, "", ""))"),2.0)</f>
        <v>2</v>
      </c>
      <c r="O170" s="71">
        <f>IFERROR(__xludf.DUMMYFUNCTION("countif(split(K170,"",""),C170)"),0.0)</f>
        <v>0</v>
      </c>
      <c r="P170" s="55" t="b">
        <f>IFERROR(__xludf.DUMMYFUNCTION("MIN(split(J170,"",""))&lt;=7"),FALSE)</f>
        <v>0</v>
      </c>
      <c r="Q170" s="55" t="b">
        <f>IFERROR(__xludf.DUMMYFUNCTION("max(split(J170,"",""))&gt;=8"),TRUE)</f>
        <v>1</v>
      </c>
      <c r="R170" s="55" t="b">
        <f t="shared" si="3"/>
        <v>0</v>
      </c>
      <c r="S170" s="2"/>
    </row>
    <row r="171">
      <c r="A171" s="65" t="s">
        <v>3734</v>
      </c>
      <c r="B171" s="42">
        <v>185.0</v>
      </c>
      <c r="C171" s="65" t="s">
        <v>3357</v>
      </c>
      <c r="D171" s="2" t="s">
        <v>19</v>
      </c>
      <c r="E171" s="70" t="s">
        <v>4177</v>
      </c>
      <c r="F171" s="2" t="s">
        <v>2681</v>
      </c>
      <c r="G171" s="2"/>
      <c r="H171" s="54" t="str">
        <f t="shared" si="1"/>
        <v>(P12)</v>
      </c>
      <c r="I171" s="54" t="str">
        <f>IFERROR(__xludf.DUMMYFUNCTION("concatenate(ARRAYFORMULA(""P"" &amp; SPLIT(J171, "","") &amp; "",""))"),"P12,")</f>
        <v>P12,</v>
      </c>
      <c r="J171" s="54" t="str">
        <f>IFERROR(__xludf.DUMMYFUNCTION("ArrayFormula(textjoin("", "",true,unique(trim(split(M171,"","")),true)))"),"12")</f>
        <v>12</v>
      </c>
      <c r="K171" s="65"/>
      <c r="L171" s="65"/>
      <c r="M171" s="54" t="str">
        <f t="shared" si="2"/>
        <v>12</v>
      </c>
      <c r="N171" s="71">
        <f>IFERROR(__xludf.DUMMYFUNCTION("countunique(split(M171, "", ""))"),1.0)</f>
        <v>1</v>
      </c>
      <c r="O171" s="71">
        <f>IFERROR(__xludf.DUMMYFUNCTION("countif(split(K171,"",""),C171)"),0.0)</f>
        <v>0</v>
      </c>
      <c r="P171" s="55" t="b">
        <f>IFERROR(__xludf.DUMMYFUNCTION("MIN(split(J171,"",""))&lt;=7"),FALSE)</f>
        <v>0</v>
      </c>
      <c r="Q171" s="55" t="b">
        <f>IFERROR(__xludf.DUMMYFUNCTION("max(split(J171,"",""))&gt;=8"),TRUE)</f>
        <v>1</v>
      </c>
      <c r="R171" s="55" t="b">
        <f t="shared" si="3"/>
        <v>0</v>
      </c>
      <c r="S171" s="2"/>
    </row>
    <row r="172">
      <c r="A172" s="65" t="s">
        <v>3736</v>
      </c>
      <c r="B172" s="42">
        <v>186.0</v>
      </c>
      <c r="C172" s="65" t="s">
        <v>3357</v>
      </c>
      <c r="D172" s="2" t="s">
        <v>19</v>
      </c>
      <c r="E172" s="70" t="s">
        <v>795</v>
      </c>
      <c r="F172" s="2" t="s">
        <v>4178</v>
      </c>
      <c r="G172" s="2"/>
      <c r="H172" s="54" t="str">
        <f t="shared" si="1"/>
        <v>(P12)</v>
      </c>
      <c r="I172" s="54" t="str">
        <f>IFERROR(__xludf.DUMMYFUNCTION("concatenate(ARRAYFORMULA(""P"" &amp; SPLIT(J172, "","") &amp; "",""))"),"P12,")</f>
        <v>P12,</v>
      </c>
      <c r="J172" s="54" t="str">
        <f>IFERROR(__xludf.DUMMYFUNCTION("ArrayFormula(textjoin("", "",true,unique(trim(split(M172,"","")),true)))"),"12")</f>
        <v>12</v>
      </c>
      <c r="K172" s="65"/>
      <c r="L172" s="65"/>
      <c r="M172" s="54" t="str">
        <f t="shared" si="2"/>
        <v>12</v>
      </c>
      <c r="N172" s="71">
        <f>IFERROR(__xludf.DUMMYFUNCTION("countunique(split(M172, "", ""))"),1.0)</f>
        <v>1</v>
      </c>
      <c r="O172" s="71">
        <f>IFERROR(__xludf.DUMMYFUNCTION("countif(split(K172,"",""),C172)"),0.0)</f>
        <v>0</v>
      </c>
      <c r="P172" s="55" t="b">
        <f>IFERROR(__xludf.DUMMYFUNCTION("MIN(split(J172,"",""))&lt;=7"),FALSE)</f>
        <v>0</v>
      </c>
      <c r="Q172" s="55" t="b">
        <f>IFERROR(__xludf.DUMMYFUNCTION("max(split(J172,"",""))&gt;=8"),TRUE)</f>
        <v>1</v>
      </c>
      <c r="R172" s="55" t="b">
        <f t="shared" si="3"/>
        <v>0</v>
      </c>
      <c r="S172" s="2"/>
    </row>
    <row r="173">
      <c r="A173" s="65" t="s">
        <v>3746</v>
      </c>
      <c r="B173" s="42">
        <v>187.0</v>
      </c>
      <c r="C173" s="65" t="s">
        <v>3357</v>
      </c>
      <c r="D173" s="2" t="s">
        <v>19</v>
      </c>
      <c r="E173" s="70" t="s">
        <v>4179</v>
      </c>
      <c r="F173" s="42" t="s">
        <v>4180</v>
      </c>
      <c r="G173" s="2" t="s">
        <v>4181</v>
      </c>
      <c r="H173" s="54" t="str">
        <f t="shared" si="1"/>
        <v>(P12,P13,P14)</v>
      </c>
      <c r="I173" s="54" t="str">
        <f>IFERROR(__xludf.DUMMYFUNCTION("concatenate(ARRAYFORMULA(""P"" &amp; SPLIT(J173, "","") &amp; "",""))"),"P12,P13,P14,")</f>
        <v>P12,P13,P14,</v>
      </c>
      <c r="J173" s="54" t="str">
        <f>IFERROR(__xludf.DUMMYFUNCTION("ArrayFormula(textjoin("", "",true,unique(trim(split(M173,"","")),true)))"),"12, 13, 14")</f>
        <v>12, 13, 14</v>
      </c>
      <c r="K173" s="65" t="s">
        <v>4182</v>
      </c>
      <c r="L173" s="65" t="s">
        <v>4183</v>
      </c>
      <c r="M173" s="54" t="str">
        <f t="shared" si="2"/>
        <v>12, 13, 13, 14, 14, 14, 14, 14</v>
      </c>
      <c r="N173" s="71">
        <f>IFERROR(__xludf.DUMMYFUNCTION("countunique(split(M173, "", ""))"),3.0)</f>
        <v>3</v>
      </c>
      <c r="O173" s="71">
        <f>IFERROR(__xludf.DUMMYFUNCTION("countif(split(K173,"",""),C173)"),0.0)</f>
        <v>0</v>
      </c>
      <c r="P173" s="55" t="b">
        <f>IFERROR(__xludf.DUMMYFUNCTION("MIN(split(J173,"",""))&lt;=7"),FALSE)</f>
        <v>0</v>
      </c>
      <c r="Q173" s="55" t="b">
        <f>IFERROR(__xludf.DUMMYFUNCTION("max(split(J173,"",""))&gt;=8"),TRUE)</f>
        <v>1</v>
      </c>
      <c r="R173" s="55" t="b">
        <f t="shared" si="3"/>
        <v>0</v>
      </c>
      <c r="S173" s="2"/>
    </row>
    <row r="174">
      <c r="A174" s="65" t="s">
        <v>3758</v>
      </c>
      <c r="B174" s="42">
        <v>188.0</v>
      </c>
      <c r="C174" s="65" t="s">
        <v>3357</v>
      </c>
      <c r="D174" s="2" t="s">
        <v>19</v>
      </c>
      <c r="E174" s="70" t="s">
        <v>3759</v>
      </c>
      <c r="F174" s="2" t="s">
        <v>2703</v>
      </c>
      <c r="G174" s="2"/>
      <c r="H174" s="54" t="str">
        <f t="shared" si="1"/>
        <v>(P12)</v>
      </c>
      <c r="I174" s="54" t="str">
        <f>IFERROR(__xludf.DUMMYFUNCTION("concatenate(ARRAYFORMULA(""P"" &amp; SPLIT(J174, "","") &amp; "",""))"),"P12,")</f>
        <v>P12,</v>
      </c>
      <c r="J174" s="54" t="str">
        <f>IFERROR(__xludf.DUMMYFUNCTION("ArrayFormula(textjoin("", "",true,unique(trim(split(M174,"","")),true)))"),"12")</f>
        <v>12</v>
      </c>
      <c r="K174" s="65"/>
      <c r="L174" s="65"/>
      <c r="M174" s="54" t="str">
        <f t="shared" si="2"/>
        <v>12</v>
      </c>
      <c r="N174" s="71">
        <f>IFERROR(__xludf.DUMMYFUNCTION("countunique(split(M174, "", ""))"),1.0)</f>
        <v>1</v>
      </c>
      <c r="O174" s="71">
        <f>IFERROR(__xludf.DUMMYFUNCTION("countif(split(K174,"",""),C174)"),0.0)</f>
        <v>0</v>
      </c>
      <c r="P174" s="55" t="b">
        <f>IFERROR(__xludf.DUMMYFUNCTION("MIN(split(J174,"",""))&lt;=7"),FALSE)</f>
        <v>0</v>
      </c>
      <c r="Q174" s="55" t="b">
        <f>IFERROR(__xludf.DUMMYFUNCTION("max(split(J174,"",""))&gt;=8"),TRUE)</f>
        <v>1</v>
      </c>
      <c r="R174" s="55" t="b">
        <f t="shared" si="3"/>
        <v>0</v>
      </c>
      <c r="S174" s="2"/>
    </row>
    <row r="175">
      <c r="A175" s="65" t="s">
        <v>3764</v>
      </c>
      <c r="B175" s="42">
        <v>189.0</v>
      </c>
      <c r="C175" s="65" t="s">
        <v>4016</v>
      </c>
      <c r="D175" s="2" t="s">
        <v>19</v>
      </c>
      <c r="E175" s="70" t="s">
        <v>4184</v>
      </c>
      <c r="F175" s="42" t="s">
        <v>4185</v>
      </c>
      <c r="G175" s="2" t="s">
        <v>4186</v>
      </c>
      <c r="H175" s="54" t="str">
        <f t="shared" si="1"/>
        <v>(P13)</v>
      </c>
      <c r="I175" s="54" t="str">
        <f>IFERROR(__xludf.DUMMYFUNCTION("concatenate(ARRAYFORMULA(""P"" &amp; SPLIT(J175, "","") &amp; "",""))"),"P13,")</f>
        <v>P13,</v>
      </c>
      <c r="J175" s="54" t="str">
        <f>IFERROR(__xludf.DUMMYFUNCTION("ArrayFormula(textjoin("", "",true,unique(trim(split(M175,"","")),true)))"),"13")</f>
        <v>13</v>
      </c>
      <c r="K175" s="65" t="s">
        <v>4144</v>
      </c>
      <c r="L175" s="65" t="s">
        <v>4187</v>
      </c>
      <c r="M175" s="54" t="str">
        <f t="shared" si="2"/>
        <v>13, 13, 13</v>
      </c>
      <c r="N175" s="71">
        <f>IFERROR(__xludf.DUMMYFUNCTION("countunique(split(M175, "", ""))"),1.0)</f>
        <v>1</v>
      </c>
      <c r="O175" s="71">
        <f>IFERROR(__xludf.DUMMYFUNCTION("countif(split(K175,"",""),C175)"),2.0)</f>
        <v>2</v>
      </c>
      <c r="P175" s="55" t="b">
        <f>IFERROR(__xludf.DUMMYFUNCTION("MIN(split(J175,"",""))&lt;=7"),FALSE)</f>
        <v>0</v>
      </c>
      <c r="Q175" s="55" t="b">
        <f>IFERROR(__xludf.DUMMYFUNCTION("max(split(J175,"",""))&gt;=8"),TRUE)</f>
        <v>1</v>
      </c>
      <c r="R175" s="55" t="b">
        <f t="shared" si="3"/>
        <v>0</v>
      </c>
      <c r="S175" s="2"/>
    </row>
    <row r="176">
      <c r="A176" s="65" t="s">
        <v>3772</v>
      </c>
      <c r="B176" s="42">
        <v>190.0</v>
      </c>
      <c r="C176" s="65" t="s">
        <v>4016</v>
      </c>
      <c r="D176" s="2" t="s">
        <v>19</v>
      </c>
      <c r="E176" s="70" t="s">
        <v>4188</v>
      </c>
      <c r="F176" s="2" t="s">
        <v>2714</v>
      </c>
      <c r="G176" s="2"/>
      <c r="H176" s="54" t="str">
        <f t="shared" si="1"/>
        <v>(P13)</v>
      </c>
      <c r="I176" s="54" t="str">
        <f>IFERROR(__xludf.DUMMYFUNCTION("concatenate(ARRAYFORMULA(""P"" &amp; SPLIT(J176, "","") &amp; "",""))"),"P13,")</f>
        <v>P13,</v>
      </c>
      <c r="J176" s="54" t="str">
        <f>IFERROR(__xludf.DUMMYFUNCTION("ArrayFormula(textjoin("", "",true,unique(trim(split(M176,"","")),true)))"),"13")</f>
        <v>13</v>
      </c>
      <c r="K176" s="65"/>
      <c r="L176" s="65"/>
      <c r="M176" s="54" t="str">
        <f t="shared" si="2"/>
        <v>13</v>
      </c>
      <c r="N176" s="71">
        <f>IFERROR(__xludf.DUMMYFUNCTION("countunique(split(M176, "", ""))"),1.0)</f>
        <v>1</v>
      </c>
      <c r="O176" s="71">
        <f>IFERROR(__xludf.DUMMYFUNCTION("countif(split(K176,"",""),C176)"),0.0)</f>
        <v>0</v>
      </c>
      <c r="P176" s="55" t="b">
        <f>IFERROR(__xludf.DUMMYFUNCTION("MIN(split(J176,"",""))&lt;=7"),FALSE)</f>
        <v>0</v>
      </c>
      <c r="Q176" s="55" t="b">
        <f>IFERROR(__xludf.DUMMYFUNCTION("max(split(J176,"",""))&gt;=8"),TRUE)</f>
        <v>1</v>
      </c>
      <c r="R176" s="55" t="b">
        <f t="shared" si="3"/>
        <v>0</v>
      </c>
      <c r="S176" s="2" t="s">
        <v>4189</v>
      </c>
    </row>
    <row r="177">
      <c r="A177" s="65" t="s">
        <v>3773</v>
      </c>
      <c r="B177" s="42">
        <v>191.0</v>
      </c>
      <c r="C177" s="65" t="s">
        <v>4016</v>
      </c>
      <c r="D177" s="2" t="s">
        <v>19</v>
      </c>
      <c r="E177" s="70" t="s">
        <v>4190</v>
      </c>
      <c r="F177" s="42" t="s">
        <v>4191</v>
      </c>
      <c r="G177" s="2" t="s">
        <v>4192</v>
      </c>
      <c r="H177" s="54" t="str">
        <f t="shared" si="1"/>
        <v>(P13)</v>
      </c>
      <c r="I177" s="54" t="str">
        <f>IFERROR(__xludf.DUMMYFUNCTION("concatenate(ARRAYFORMULA(""P"" &amp; SPLIT(J177, "","") &amp; "",""))"),"P13,")</f>
        <v>P13,</v>
      </c>
      <c r="J177" s="54" t="str">
        <f>IFERROR(__xludf.DUMMYFUNCTION("ArrayFormula(textjoin("", "",true,unique(trim(split(M177,"","")),true)))"),"13")</f>
        <v>13</v>
      </c>
      <c r="K177" s="65" t="s">
        <v>4144</v>
      </c>
      <c r="L177" s="65" t="s">
        <v>4193</v>
      </c>
      <c r="M177" s="54" t="str">
        <f t="shared" si="2"/>
        <v>13, 13, 13</v>
      </c>
      <c r="N177" s="71">
        <f>IFERROR(__xludf.DUMMYFUNCTION("countunique(split(M177, "", ""))"),1.0)</f>
        <v>1</v>
      </c>
      <c r="O177" s="71">
        <f>IFERROR(__xludf.DUMMYFUNCTION("countif(split(K177,"",""),C177)"),2.0)</f>
        <v>2</v>
      </c>
      <c r="P177" s="55" t="b">
        <f>IFERROR(__xludf.DUMMYFUNCTION("MIN(split(J177,"",""))&lt;=7"),FALSE)</f>
        <v>0</v>
      </c>
      <c r="Q177" s="55" t="b">
        <f>IFERROR(__xludf.DUMMYFUNCTION("max(split(J177,"",""))&gt;=8"),TRUE)</f>
        <v>1</v>
      </c>
      <c r="R177" s="55" t="b">
        <f t="shared" si="3"/>
        <v>0</v>
      </c>
      <c r="S177" s="2"/>
    </row>
    <row r="178">
      <c r="A178" s="65" t="s">
        <v>3780</v>
      </c>
      <c r="B178" s="42">
        <v>192.0</v>
      </c>
      <c r="C178" s="65" t="s">
        <v>4016</v>
      </c>
      <c r="D178" s="2" t="s">
        <v>19</v>
      </c>
      <c r="E178" s="70" t="s">
        <v>4194</v>
      </c>
      <c r="F178" s="2" t="s">
        <v>4195</v>
      </c>
      <c r="G178" s="2" t="s">
        <v>2720</v>
      </c>
      <c r="H178" s="54" t="str">
        <f t="shared" si="1"/>
        <v>(P13)</v>
      </c>
      <c r="I178" s="54" t="str">
        <f>IFERROR(__xludf.DUMMYFUNCTION("concatenate(ARRAYFORMULA(""P"" &amp; SPLIT(J178, "","") &amp; "",""))"),"P13,")</f>
        <v>P13,</v>
      </c>
      <c r="J178" s="54" t="str">
        <f>IFERROR(__xludf.DUMMYFUNCTION("ArrayFormula(textjoin("", "",true,unique(trim(split(M178,"","")),true)))"),"13")</f>
        <v>13</v>
      </c>
      <c r="K178" s="65" t="s">
        <v>4016</v>
      </c>
      <c r="L178" s="65" t="s">
        <v>3782</v>
      </c>
      <c r="M178" s="54" t="str">
        <f t="shared" si="2"/>
        <v>13, 13</v>
      </c>
      <c r="N178" s="71">
        <f>IFERROR(__xludf.DUMMYFUNCTION("countunique(split(M178, "", ""))"),1.0)</f>
        <v>1</v>
      </c>
      <c r="O178" s="71">
        <f>IFERROR(__xludf.DUMMYFUNCTION("countif(split(K178,"",""),C178)"),1.0)</f>
        <v>1</v>
      </c>
      <c r="P178" s="55" t="b">
        <f>IFERROR(__xludf.DUMMYFUNCTION("MIN(split(J178,"",""))&lt;=7"),FALSE)</f>
        <v>0</v>
      </c>
      <c r="Q178" s="55" t="b">
        <f>IFERROR(__xludf.DUMMYFUNCTION("max(split(J178,"",""))&gt;=8"),TRUE)</f>
        <v>1</v>
      </c>
      <c r="R178" s="55" t="b">
        <f t="shared" si="3"/>
        <v>0</v>
      </c>
      <c r="S178" s="2"/>
    </row>
    <row r="179">
      <c r="A179" s="65" t="s">
        <v>3791</v>
      </c>
      <c r="B179" s="42">
        <v>193.0</v>
      </c>
      <c r="C179" s="65" t="s">
        <v>4016</v>
      </c>
      <c r="D179" s="2" t="s">
        <v>19</v>
      </c>
      <c r="E179" s="70" t="s">
        <v>4196</v>
      </c>
      <c r="F179" s="2" t="s">
        <v>2729</v>
      </c>
      <c r="G179" s="2"/>
      <c r="H179" s="54" t="str">
        <f t="shared" si="1"/>
        <v>(P13)</v>
      </c>
      <c r="I179" s="54" t="str">
        <f>IFERROR(__xludf.DUMMYFUNCTION("concatenate(ARRAYFORMULA(""P"" &amp; SPLIT(J179, "","") &amp; "",""))"),"P13,")</f>
        <v>P13,</v>
      </c>
      <c r="J179" s="54" t="str">
        <f>IFERROR(__xludf.DUMMYFUNCTION("ArrayFormula(textjoin("", "",true,unique(trim(split(M179,"","")),true)))"),"13")</f>
        <v>13</v>
      </c>
      <c r="K179" s="65"/>
      <c r="L179" s="65"/>
      <c r="M179" s="54" t="str">
        <f t="shared" si="2"/>
        <v>13</v>
      </c>
      <c r="N179" s="71">
        <f>IFERROR(__xludf.DUMMYFUNCTION("countunique(split(M179, "", ""))"),1.0)</f>
        <v>1</v>
      </c>
      <c r="O179" s="71">
        <f>IFERROR(__xludf.DUMMYFUNCTION("countif(split(K179,"",""),C179)"),0.0)</f>
        <v>0</v>
      </c>
      <c r="P179" s="55" t="b">
        <f>IFERROR(__xludf.DUMMYFUNCTION("MIN(split(J179,"",""))&lt;=7"),FALSE)</f>
        <v>0</v>
      </c>
      <c r="Q179" s="55" t="b">
        <f>IFERROR(__xludf.DUMMYFUNCTION("max(split(J179,"",""))&gt;=8"),TRUE)</f>
        <v>1</v>
      </c>
      <c r="R179" s="55" t="b">
        <f t="shared" si="3"/>
        <v>0</v>
      </c>
      <c r="S179" s="2"/>
    </row>
    <row r="180">
      <c r="A180" s="65" t="s">
        <v>3794</v>
      </c>
      <c r="B180" s="42">
        <v>194.0</v>
      </c>
      <c r="C180" s="65" t="s">
        <v>4016</v>
      </c>
      <c r="D180" s="2" t="s">
        <v>19</v>
      </c>
      <c r="E180" s="70" t="s">
        <v>1878</v>
      </c>
      <c r="F180" s="2" t="s">
        <v>1879</v>
      </c>
      <c r="G180" s="2"/>
      <c r="H180" s="54" t="str">
        <f t="shared" si="1"/>
        <v>(P13)</v>
      </c>
      <c r="I180" s="54" t="str">
        <f>IFERROR(__xludf.DUMMYFUNCTION("concatenate(ARRAYFORMULA(""P"" &amp; SPLIT(J180, "","") &amp; "",""))"),"P13,")</f>
        <v>P13,</v>
      </c>
      <c r="J180" s="54" t="str">
        <f>IFERROR(__xludf.DUMMYFUNCTION("ArrayFormula(textjoin("", "",true,unique(trim(split(M180,"","")),true)))"),"13")</f>
        <v>13</v>
      </c>
      <c r="K180" s="65"/>
      <c r="L180" s="65"/>
      <c r="M180" s="54" t="str">
        <f t="shared" si="2"/>
        <v>13</v>
      </c>
      <c r="N180" s="71">
        <f>IFERROR(__xludf.DUMMYFUNCTION("countunique(split(M180, "", ""))"),1.0)</f>
        <v>1</v>
      </c>
      <c r="O180" s="71">
        <f>IFERROR(__xludf.DUMMYFUNCTION("countif(split(K180,"",""),C180)"),0.0)</f>
        <v>0</v>
      </c>
      <c r="P180" s="55" t="b">
        <f>IFERROR(__xludf.DUMMYFUNCTION("MIN(split(J180,"",""))&lt;=7"),FALSE)</f>
        <v>0</v>
      </c>
      <c r="Q180" s="55" t="b">
        <f>IFERROR(__xludf.DUMMYFUNCTION("max(split(J180,"",""))&gt;=8"),TRUE)</f>
        <v>1</v>
      </c>
      <c r="R180" s="55" t="b">
        <f t="shared" si="3"/>
        <v>0</v>
      </c>
      <c r="S180" s="2" t="s">
        <v>4197</v>
      </c>
    </row>
    <row r="181">
      <c r="A181" s="65" t="s">
        <v>3806</v>
      </c>
      <c r="B181" s="42">
        <v>195.0</v>
      </c>
      <c r="C181" s="65" t="s">
        <v>3260</v>
      </c>
      <c r="D181" s="2" t="s">
        <v>19</v>
      </c>
      <c r="E181" s="70" t="s">
        <v>4198</v>
      </c>
      <c r="F181" s="2" t="s">
        <v>1889</v>
      </c>
      <c r="G181" s="2"/>
      <c r="H181" s="54" t="str">
        <f t="shared" si="1"/>
        <v>(P14)</v>
      </c>
      <c r="I181" s="54" t="str">
        <f>IFERROR(__xludf.DUMMYFUNCTION("concatenate(ARRAYFORMULA(""P"" &amp; SPLIT(J181, "","") &amp; "",""))"),"P14,")</f>
        <v>P14,</v>
      </c>
      <c r="J181" s="54" t="str">
        <f>IFERROR(__xludf.DUMMYFUNCTION("ArrayFormula(textjoin("", "",true,unique(trim(split(M181,"","")),true)))"),"14")</f>
        <v>14</v>
      </c>
      <c r="K181" s="65"/>
      <c r="L181" s="65"/>
      <c r="M181" s="54" t="str">
        <f t="shared" si="2"/>
        <v>14</v>
      </c>
      <c r="N181" s="71">
        <f>IFERROR(__xludf.DUMMYFUNCTION("countunique(split(M181, "", ""))"),1.0)</f>
        <v>1</v>
      </c>
      <c r="O181" s="71">
        <f>IFERROR(__xludf.DUMMYFUNCTION("countif(split(K181,"",""),C181)"),0.0)</f>
        <v>0</v>
      </c>
      <c r="P181" s="55" t="b">
        <f>IFERROR(__xludf.DUMMYFUNCTION("MIN(split(J181,"",""))&lt;=7"),FALSE)</f>
        <v>0</v>
      </c>
      <c r="Q181" s="55" t="b">
        <f>IFERROR(__xludf.DUMMYFUNCTION("max(split(J181,"",""))&gt;=8"),TRUE)</f>
        <v>1</v>
      </c>
      <c r="R181" s="55" t="b">
        <f t="shared" si="3"/>
        <v>0</v>
      </c>
      <c r="S181" s="2"/>
    </row>
    <row r="182">
      <c r="A182" s="65" t="s">
        <v>3812</v>
      </c>
      <c r="B182" s="42">
        <v>196.0</v>
      </c>
      <c r="C182" s="65" t="s">
        <v>3260</v>
      </c>
      <c r="D182" s="2" t="s">
        <v>19</v>
      </c>
      <c r="E182" s="70" t="s">
        <v>3813</v>
      </c>
      <c r="F182" s="2" t="s">
        <v>1910</v>
      </c>
      <c r="G182" s="2"/>
      <c r="H182" s="54" t="str">
        <f t="shared" si="1"/>
        <v>(P14)</v>
      </c>
      <c r="I182" s="54" t="str">
        <f>IFERROR(__xludf.DUMMYFUNCTION("concatenate(ARRAYFORMULA(""P"" &amp; SPLIT(J182, "","") &amp; "",""))"),"P14,")</f>
        <v>P14,</v>
      </c>
      <c r="J182" s="54" t="str">
        <f>IFERROR(__xludf.DUMMYFUNCTION("ArrayFormula(textjoin("", "",true,unique(trim(split(M182,"","")),true)))"),"14")</f>
        <v>14</v>
      </c>
      <c r="K182" s="65"/>
      <c r="L182" s="65"/>
      <c r="M182" s="54" t="str">
        <f t="shared" si="2"/>
        <v>14</v>
      </c>
      <c r="N182" s="71">
        <f>IFERROR(__xludf.DUMMYFUNCTION("countunique(split(M182, "", ""))"),1.0)</f>
        <v>1</v>
      </c>
      <c r="O182" s="71">
        <f>IFERROR(__xludf.DUMMYFUNCTION("countif(split(K182,"",""),C182)"),0.0)</f>
        <v>0</v>
      </c>
      <c r="P182" s="55" t="b">
        <f>IFERROR(__xludf.DUMMYFUNCTION("MIN(split(J182,"",""))&lt;=7"),FALSE)</f>
        <v>0</v>
      </c>
      <c r="Q182" s="55" t="b">
        <f>IFERROR(__xludf.DUMMYFUNCTION("max(split(J182,"",""))&gt;=8"),TRUE)</f>
        <v>1</v>
      </c>
      <c r="R182" s="55" t="b">
        <f t="shared" si="3"/>
        <v>0</v>
      </c>
      <c r="S182" s="2"/>
    </row>
    <row r="183">
      <c r="A183" s="65" t="s">
        <v>3814</v>
      </c>
      <c r="B183" s="42">
        <v>197.0</v>
      </c>
      <c r="C183" s="65" t="s">
        <v>3260</v>
      </c>
      <c r="D183" s="2" t="s">
        <v>19</v>
      </c>
      <c r="E183" s="70" t="s">
        <v>4199</v>
      </c>
      <c r="F183" s="2" t="s">
        <v>2752</v>
      </c>
      <c r="G183" s="2"/>
      <c r="H183" s="54" t="str">
        <f t="shared" si="1"/>
        <v>(P14)</v>
      </c>
      <c r="I183" s="54" t="str">
        <f>IFERROR(__xludf.DUMMYFUNCTION("concatenate(ARRAYFORMULA(""P"" &amp; SPLIT(J183, "","") &amp; "",""))"),"P14,")</f>
        <v>P14,</v>
      </c>
      <c r="J183" s="54" t="str">
        <f>IFERROR(__xludf.DUMMYFUNCTION("ArrayFormula(textjoin("", "",true,unique(trim(split(M183,"","")),true)))"),"14")</f>
        <v>14</v>
      </c>
      <c r="K183" s="65"/>
      <c r="L183" s="65"/>
      <c r="M183" s="54" t="str">
        <f t="shared" si="2"/>
        <v>14</v>
      </c>
      <c r="N183" s="71">
        <f>IFERROR(__xludf.DUMMYFUNCTION("countunique(split(M183, "", ""))"),1.0)</f>
        <v>1</v>
      </c>
      <c r="O183" s="71">
        <f>IFERROR(__xludf.DUMMYFUNCTION("countif(split(K183,"",""),C183)"),0.0)</f>
        <v>0</v>
      </c>
      <c r="P183" s="55" t="b">
        <f>IFERROR(__xludf.DUMMYFUNCTION("MIN(split(J183,"",""))&lt;=7"),FALSE)</f>
        <v>0</v>
      </c>
      <c r="Q183" s="55" t="b">
        <f>IFERROR(__xludf.DUMMYFUNCTION("max(split(J183,"",""))&gt;=8"),TRUE)</f>
        <v>1</v>
      </c>
      <c r="R183" s="55" t="b">
        <f t="shared" si="3"/>
        <v>0</v>
      </c>
      <c r="S183" s="2"/>
    </row>
    <row r="184">
      <c r="A184" s="65" t="s">
        <v>3819</v>
      </c>
      <c r="B184" s="42">
        <v>198.0</v>
      </c>
      <c r="C184" s="65" t="s">
        <v>3260</v>
      </c>
      <c r="D184" s="2" t="s">
        <v>19</v>
      </c>
      <c r="E184" s="70" t="s">
        <v>4200</v>
      </c>
      <c r="F184" s="2" t="s">
        <v>4201</v>
      </c>
      <c r="G184" s="2"/>
      <c r="H184" s="54" t="str">
        <f t="shared" si="1"/>
        <v>(P14)</v>
      </c>
      <c r="I184" s="54" t="str">
        <f>IFERROR(__xludf.DUMMYFUNCTION("concatenate(ARRAYFORMULA(""P"" &amp; SPLIT(J184, "","") &amp; "",""))"),"P14,")</f>
        <v>P14,</v>
      </c>
      <c r="J184" s="54" t="str">
        <f>IFERROR(__xludf.DUMMYFUNCTION("ArrayFormula(textjoin("", "",true,unique(trim(split(M184,"","")),true)))"),"14")</f>
        <v>14</v>
      </c>
      <c r="K184" s="65"/>
      <c r="L184" s="65"/>
      <c r="M184" s="54" t="str">
        <f t="shared" si="2"/>
        <v>14</v>
      </c>
      <c r="N184" s="71">
        <f>IFERROR(__xludf.DUMMYFUNCTION("countunique(split(M184, "", ""))"),1.0)</f>
        <v>1</v>
      </c>
      <c r="O184" s="71">
        <f>IFERROR(__xludf.DUMMYFUNCTION("countif(split(K184,"",""),C184)"),0.0)</f>
        <v>0</v>
      </c>
      <c r="P184" s="55" t="b">
        <f>IFERROR(__xludf.DUMMYFUNCTION("MIN(split(J184,"",""))&lt;=7"),FALSE)</f>
        <v>0</v>
      </c>
      <c r="Q184" s="55" t="b">
        <f>IFERROR(__xludf.DUMMYFUNCTION("max(split(J184,"",""))&gt;=8"),TRUE)</f>
        <v>1</v>
      </c>
      <c r="R184" s="55" t="b">
        <f t="shared" si="3"/>
        <v>0</v>
      </c>
      <c r="S184" s="2"/>
    </row>
    <row r="185">
      <c r="A185" s="65" t="s">
        <v>3836</v>
      </c>
      <c r="B185" s="42">
        <v>199.0</v>
      </c>
      <c r="C185" s="65" t="s">
        <v>3260</v>
      </c>
      <c r="D185" s="2" t="s">
        <v>19</v>
      </c>
      <c r="E185" s="70" t="s">
        <v>4202</v>
      </c>
      <c r="F185" s="2" t="s">
        <v>1938</v>
      </c>
      <c r="G185" s="2"/>
      <c r="H185" s="54" t="str">
        <f t="shared" si="1"/>
        <v>(P14)</v>
      </c>
      <c r="I185" s="54" t="str">
        <f>IFERROR(__xludf.DUMMYFUNCTION("concatenate(ARRAYFORMULA(""P"" &amp; SPLIT(J185, "","") &amp; "",""))"),"P14,")</f>
        <v>P14,</v>
      </c>
      <c r="J185" s="54" t="str">
        <f>IFERROR(__xludf.DUMMYFUNCTION("ArrayFormula(textjoin("", "",true,unique(trim(split(M185,"","")),true)))"),"14")</f>
        <v>14</v>
      </c>
      <c r="K185" s="65"/>
      <c r="L185" s="65"/>
      <c r="M185" s="54" t="str">
        <f t="shared" si="2"/>
        <v>14</v>
      </c>
      <c r="N185" s="71">
        <f>IFERROR(__xludf.DUMMYFUNCTION("countunique(split(M185, "", ""))"),1.0)</f>
        <v>1</v>
      </c>
      <c r="O185" s="71">
        <f>IFERROR(__xludf.DUMMYFUNCTION("countif(split(K185,"",""),C185)"),0.0)</f>
        <v>0</v>
      </c>
      <c r="P185" s="55" t="b">
        <f>IFERROR(__xludf.DUMMYFUNCTION("MIN(split(J185,"",""))&lt;=7"),FALSE)</f>
        <v>0</v>
      </c>
      <c r="Q185" s="55" t="b">
        <f>IFERROR(__xludf.DUMMYFUNCTION("max(split(J185,"",""))&gt;=8"),TRUE)</f>
        <v>1</v>
      </c>
      <c r="R185" s="55" t="b">
        <f t="shared" si="3"/>
        <v>0</v>
      </c>
      <c r="S185" s="2"/>
    </row>
    <row r="186">
      <c r="A186" s="65" t="s">
        <v>3839</v>
      </c>
      <c r="B186" s="42">
        <v>200.0</v>
      </c>
      <c r="C186" s="65" t="s">
        <v>3260</v>
      </c>
      <c r="D186" s="2" t="s">
        <v>19</v>
      </c>
      <c r="E186" s="70" t="s">
        <v>886</v>
      </c>
      <c r="F186" s="2" t="s">
        <v>2779</v>
      </c>
      <c r="G186" s="2"/>
      <c r="H186" s="54" t="str">
        <f t="shared" si="1"/>
        <v>(P14)</v>
      </c>
      <c r="I186" s="54" t="str">
        <f>IFERROR(__xludf.DUMMYFUNCTION("concatenate(ARRAYFORMULA(""P"" &amp; SPLIT(J186, "","") &amp; "",""))"),"P14,")</f>
        <v>P14,</v>
      </c>
      <c r="J186" s="54" t="str">
        <f>IFERROR(__xludf.DUMMYFUNCTION("ArrayFormula(textjoin("", "",true,unique(trim(split(M186,"","")),true)))"),"14")</f>
        <v>14</v>
      </c>
      <c r="K186" s="65"/>
      <c r="L186" s="65"/>
      <c r="M186" s="54" t="str">
        <f t="shared" si="2"/>
        <v>14</v>
      </c>
      <c r="N186" s="71">
        <f>IFERROR(__xludf.DUMMYFUNCTION("countunique(split(M186, "", ""))"),1.0)</f>
        <v>1</v>
      </c>
      <c r="O186" s="71">
        <f>IFERROR(__xludf.DUMMYFUNCTION("countif(split(K186,"",""),C186)"),0.0)</f>
        <v>0</v>
      </c>
      <c r="P186" s="55" t="b">
        <f>IFERROR(__xludf.DUMMYFUNCTION("MIN(split(J186,"",""))&lt;=7"),FALSE)</f>
        <v>0</v>
      </c>
      <c r="Q186" s="55" t="b">
        <f>IFERROR(__xludf.DUMMYFUNCTION("max(split(J186,"",""))&gt;=8"),TRUE)</f>
        <v>1</v>
      </c>
      <c r="R186" s="55" t="b">
        <f t="shared" si="3"/>
        <v>0</v>
      </c>
      <c r="S186" s="2"/>
    </row>
  </sheetData>
  <drawing r:id="rId1"/>
</worksheet>
</file>